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326" firstSheet="0" activeTab="1" autoFilterDateGrouping="1"/>
  </bookViews>
  <sheets>
    <sheet name="Purchase" sheetId="1" state="visible" r:id="rId1"/>
    <sheet name="Sales" sheetId="2" state="visible" r:id="rId2"/>
    <sheet name="Stock" sheetId="3" state="visible" r:id="rId3"/>
    <sheet name="Calculation Buying 7 Jul" sheetId="4" state="hidden" r:id="rId4"/>
  </sheets>
  <definedNames>
    <definedName name="_xlnm._FilterDatabase" localSheetId="0" hidden="1">'Purchase'!$A$3:$T$57</definedName>
    <definedName name="_xlnm._FilterDatabase" localSheetId="2" hidden="1">'Stock'!$A$3:$J$33</definedName>
  </definedNames>
  <calcPr calcId="191029" fullCalcOnLoad="1"/>
  <pivotCaches>
    <pivotCache cacheId="1" r:id="rId5"/>
  </pivotCaches>
</workbook>
</file>

<file path=xl/styles.xml><?xml version="1.0" encoding="utf-8"?>
<styleSheet xmlns="http://schemas.openxmlformats.org/spreadsheetml/2006/main">
  <numFmts count="1">
    <numFmt numFmtId="164" formatCode="[$-409]d\-mmm\-yy;@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i val="1"/>
      <color theme="1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sz val="11"/>
      <scheme val="minor"/>
    </font>
    <font>
      <name val="Calibri"/>
      <family val="2"/>
      <b val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"/>
      </left>
      <right/>
      <top style="thin">
        <color theme="4" tint="0.3999755851924192"/>
      </top>
      <bottom/>
      <diagonal/>
    </border>
    <border>
      <left/>
      <right/>
      <top style="thin">
        <color theme="4" tint="0.3999755851924192"/>
      </top>
      <bottom/>
      <diagonal/>
    </border>
    <border>
      <left/>
      <right style="thin">
        <color theme="4" tint="0.3999755851924192"/>
      </right>
      <top style="thin">
        <color theme="4" tint="0.3999755851924192"/>
      </top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164" fontId="2" fillId="2" borderId="0" applyAlignment="1" pivotButton="0" quotePrefix="0" xfId="0">
      <alignment horizontal="left"/>
    </xf>
    <xf numFmtId="0" fontId="0" fillId="2" borderId="0" applyAlignment="1" pivotButton="0" quotePrefix="0" xfId="0">
      <alignment horizontal="center"/>
    </xf>
    <xf numFmtId="164" fontId="2" fillId="0" borderId="0" applyAlignment="1" pivotButton="0" quotePrefix="0" xfId="0">
      <alignment horizontal="left"/>
    </xf>
    <xf numFmtId="0" fontId="3" fillId="4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3" fontId="0" fillId="0" borderId="0" applyAlignment="1" pivotButton="0" quotePrefix="0" xfId="0">
      <alignment horizontal="left"/>
    </xf>
    <xf numFmtId="0" fontId="1" fillId="3" borderId="0" applyAlignment="1" pivotButton="0" quotePrefix="0" xfId="0">
      <alignment horizontal="center"/>
    </xf>
    <xf numFmtId="164" fontId="4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left"/>
    </xf>
    <xf numFmtId="3" fontId="4" fillId="0" borderId="0" applyAlignment="1" pivotButton="0" quotePrefix="0" xfId="0">
      <alignment horizontal="center"/>
    </xf>
    <xf numFmtId="3" fontId="1" fillId="3" borderId="0" applyAlignment="1" pivotButton="0" quotePrefix="0" xfId="0">
      <alignment horizontal="center"/>
    </xf>
    <xf numFmtId="10" fontId="0" fillId="0" borderId="0" applyAlignment="1" pivotButton="0" quotePrefix="0" xfId="0">
      <alignment horizontal="center"/>
    </xf>
    <xf numFmtId="164" fontId="2" fillId="2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3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3" fontId="0" fillId="0" borderId="0" pivotButton="0" quotePrefix="0" xfId="0"/>
    <xf numFmtId="0" fontId="1" fillId="0" borderId="0" applyAlignment="1" pivotButton="0" quotePrefix="0" xfId="0">
      <alignment horizontal="center"/>
    </xf>
    <xf numFmtId="3" fontId="1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3" fontId="1" fillId="0" borderId="0" pivotButton="0" quotePrefix="0" xfId="0"/>
    <xf numFmtId="3" fontId="1" fillId="0" borderId="0" applyAlignment="1" pivotButton="0" quotePrefix="0" xfId="0">
      <alignment horizontal="right"/>
    </xf>
    <xf numFmtId="10" fontId="1" fillId="0" borderId="0" pivotButton="0" quotePrefix="0" xfId="0"/>
    <xf numFmtId="0" fontId="3" fillId="5" borderId="1" applyAlignment="1" pivotButton="0" quotePrefix="0" xfId="0">
      <alignment horizontal="center" vertical="center"/>
    </xf>
    <xf numFmtId="164" fontId="3" fillId="4" borderId="2" applyAlignment="1" pivotButton="0" quotePrefix="0" xfId="0">
      <alignment horizontal="center" vertical="center"/>
    </xf>
    <xf numFmtId="0" fontId="3" fillId="4" borderId="2" applyAlignment="1" pivotButton="0" quotePrefix="0" xfId="0">
      <alignment horizontal="center" vertical="center"/>
    </xf>
    <xf numFmtId="3" fontId="3" fillId="4" borderId="2" applyAlignment="1" pivotButton="0" quotePrefix="0" xfId="0">
      <alignment horizontal="center" vertical="center"/>
    </xf>
    <xf numFmtId="10" fontId="3" fillId="5" borderId="3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/>
    </xf>
    <xf numFmtId="0" fontId="3" fillId="4" borderId="2" applyAlignment="1" pivotButton="0" quotePrefix="0" xfId="0">
      <alignment horizontal="center"/>
    </xf>
    <xf numFmtId="3" fontId="3" fillId="4" borderId="2" applyAlignment="1" pivotButton="0" quotePrefix="0" xfId="0">
      <alignment horizontal="center"/>
    </xf>
    <xf numFmtId="3" fontId="3" fillId="5" borderId="2" applyAlignment="1" pivotButton="0" quotePrefix="0" xfId="0">
      <alignment horizontal="center"/>
    </xf>
    <xf numFmtId="3" fontId="3" fillId="5" borderId="3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3" fontId="4" fillId="0" borderId="0" applyAlignment="1" pivotButton="0" quotePrefix="0" xfId="0">
      <alignment horizontal="left"/>
    </xf>
    <xf numFmtId="0" fontId="0" fillId="0" borderId="0" pivotButton="1" quotePrefix="0" xfId="0"/>
    <xf numFmtId="0" fontId="0" fillId="0" borderId="0" applyAlignment="1" pivotButton="1" quotePrefix="0" xfId="0">
      <alignment horizontal="center"/>
    </xf>
    <xf numFmtId="4" fontId="0" fillId="0" borderId="0" applyAlignment="1" pivotButton="0" quotePrefix="0" xfId="0">
      <alignment horizontal="center"/>
    </xf>
    <xf numFmtId="3" fontId="5" fillId="6" borderId="0" applyAlignment="1" pivotButton="0" quotePrefix="0" xfId="0">
      <alignment horizontal="center"/>
    </xf>
    <xf numFmtId="14" fontId="0" fillId="0" borderId="0" applyAlignment="1" pivotButton="0" quotePrefix="0" xfId="0">
      <alignment horizontal="center" vertical="center"/>
    </xf>
  </cellXfs>
  <cellStyles count="1">
    <cellStyle name="Normal" xfId="0" builtinId="0"/>
  </cellStyles>
  <dxfs count="7">
    <dxf>
      <fill>
        <patternFill>
          <bgColor theme="5" tint="0.5999633777886288"/>
        </patternFill>
      </fill>
    </dxf>
    <dxf>
      <fill>
        <patternFill>
          <bgColor theme="5" tint="0.5999633777886288"/>
        </patternFill>
      </fill>
    </dxf>
    <dxf>
      <fill>
        <patternFill>
          <bgColor theme="5" tint="0.5999633777886288"/>
        </patternFill>
      </fill>
    </dxf>
    <dxf>
      <fill>
        <patternFill>
          <bgColor theme="5" tint="0.5999633777886288"/>
        </patternFill>
      </fill>
    </dxf>
    <dxf>
      <fill>
        <patternFill>
          <bgColor theme="5" tint="0.5999633777886288"/>
        </patternFill>
      </fill>
    </dxf>
    <dxf>
      <alignment horizontal="center"/>
    </dxf>
    <dxf>
      <alignment horizontal="center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pivotCacheDefinition" Target="/xl/pivotCache/pivotCacheDefinition1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Author" refreshedDate="45213.92447696759" createdVersion="8" refreshedVersion="8" minRefreshableVersion="3" recordCount="47" r:id="rId1">
  <cacheSource type="worksheet">
    <worksheetSource ref="A3:M50" sheet="Purchase"/>
  </cacheSource>
  <cacheFields count="14">
    <cacheField name="Purchase Date" uniqueList="1" numFmtId="164" sqlType="0" hierarchy="0" level="0" databaseField="1">
      <sharedItems count="0" containsDate="1" containsNonDate="0" containsSemiMixedTypes="0" containsString="0" minDate="2023-07-02T00:00:00" maxDate="2023-10-04T00:00:00"/>
    </cacheField>
    <cacheField name="Source" uniqueList="1" numFmtId="0" sqlType="0" hierarchy="0" level="0" databaseField="1">
      <sharedItems count="0"/>
    </cacheField>
    <cacheField name="Qty" uniqueList="1" numFmtId="0" sqlType="0" hierarchy="0" level="0" databaseField="1">
      <sharedItems count="0" containsInteger="1" containsNumber="1" containsSemiMixedTypes="0" containsString="0" minValue="1" maxValue="10"/>
    </cacheField>
    <cacheField name="Items" uniqueList="1" numFmtId="0" sqlType="0" hierarchy="0" level="0" databaseField="1">
      <sharedItems count="16">
        <s v="Eiger Starter Daypack 16L"/>
        <s v="Eiger Tripwalk Backpack 20L"/>
        <s v="Eiger Meridian 30L Laptop Backpack"/>
        <s v="Eiger Core 15 Laptop Backpack"/>
        <s v="Eiger Classhall Pack 20L Backpack"/>
        <s v="Eiger Wanderpath 18L Backpack"/>
        <s v="Eiger Cruiser 3.0 Laptop 18L Backpack"/>
        <s v="Eiger Shelby 2.0 Laptop Backpack 20L"/>
        <s v="Eiger Diario Termina 2.0 Backpack"/>
        <s v="Bubble wrap dan lakban"/>
        <s v="Plastik packing"/>
        <s v="Eiger X-Caravel Canvas 20L Woman Backpack"/>
        <s v="Eiger Starter Daypack 21L"/>
        <s v="Eiger Cruiser 2.0 Backpack 25L"/>
        <s v="Eiger Forlough 20 Laptop Backpack"/>
        <s v="Eiger X-Cruisage Canvas 20L Laptop Backpack"/>
      </sharedItems>
    </cacheField>
    <cacheField name="Color" uniqueList="1" numFmtId="0" sqlType="0" hierarchy="0" level="0" databaseField="1">
      <sharedItems count="12">
        <s v="Blue"/>
        <s v="Olive"/>
        <s v="Black"/>
        <s v="Navy"/>
        <s v="Khaki"/>
        <s v="Green"/>
        <s v="-"/>
        <s v="Burgundy"/>
        <s v="Beige"/>
        <s v="Dark Grey"/>
        <s v="Brown"/>
        <s v="Maroon"/>
      </sharedItems>
    </cacheField>
    <cacheField name="Buying Total Price" uniqueList="1" numFmtId="3" sqlType="0" hierarchy="0" level="0" databaseField="1">
      <sharedItems count="0" containsNumber="1" containsSemiMixedTypes="0" containsString="0" minValue="38720" maxValue="4008071"/>
    </cacheField>
    <cacheField name="Price/Unit" uniqueList="1" numFmtId="3" sqlType="0" hierarchy="0" level="0" databaseField="1">
      <sharedItems count="0" containsMixedTypes="1" containsNumber="1" minValue="179100" maxValue="459500"/>
    </cacheField>
    <cacheField name="Price List" uniqueList="1" numFmtId="3" sqlType="0" hierarchy="0" level="0" databaseField="1">
      <sharedItems count="0" containsInteger="1" containsMixedTypes="1" containsNumber="1" minValue="359000" maxValue="689000"/>
    </cacheField>
    <cacheField name="Selling Price Target" uniqueList="1" numFmtId="3" sqlType="0" hierarchy="0" level="0" databaseField="1">
      <sharedItems count="0" containsMixedTypes="1" containsNumber="1" minValue="241157.8947368421" maxValue="536315.7894736843"/>
    </cacheField>
    <cacheField name="Estimated Profit" uniqueList="1" numFmtId="3" sqlType="0" hierarchy="0" level="0" databaseField="1">
      <sharedItems count="0" containsMixedTypes="1" containsNumber="1" minValue="49999.99999999997" maxValue="50000.00000000007"/>
    </cacheField>
    <cacheField name="% Profit" uniqueList="1" numFmtId="10" sqlType="0" hierarchy="0" level="0" databaseField="1">
      <sharedItems count="0" containsMixedTypes="1" containsNumber="1" minValue="0.1088139281828075" maxValue="0.2791736460078169"/>
    </cacheField>
    <cacheField name="% Estimated Profit" uniqueList="1" numFmtId="10" sqlType="0" hierarchy="0" level="0" databaseField="1">
      <sharedItems count="0" containsMixedTypes="1" containsNumber="1" minValue="0.1088139281828075" maxValue="0.2791736460078169"/>
    </cacheField>
    <cacheField name="Balance" uniqueList="1" numFmtId="1" sqlType="0" hierarchy="0" level="0" databaseField="1">
      <sharedItems count="0" containsInteger="1" containsMixedTypes="1" containsNumber="1" minValue="1" maxValue="9"/>
    </cacheField>
    <cacheField name="Balance Total" uniqueList="1" numFmtId="3" sqlType="0" hierarchy="0" level="0" databaseField="1">
      <sharedItems count="0" containsMixedTypes="1" containsNumber="1" minValue="246188.0393407067" maxValue="3607263.9"/>
    </cacheField>
  </cacheFields>
</pivotCacheDefinition>
</file>

<file path=xl/pivotCache/pivotCacheRecords1.xml><?xml version="1.0" encoding="utf-8"?>
<pivotCacheRecords xmlns="http://schemas.openxmlformats.org/spreadsheetml/2006/main" count="47">
  <r>
    <d v="2023-07-02T00:00:00"/>
    <s v="Shopee"/>
    <n v="2"/>
    <x v="0"/>
    <x v="0"/>
    <n v="437798"/>
    <n v="218899"/>
    <n v="359000"/>
    <n v="283051.5789473684"/>
    <n v="50000.00000000001"/>
    <n v="0.2284158447503187"/>
    <n v="0.2284158447503187"/>
    <s v="sold"/>
    <s v="-"/>
  </r>
  <r>
    <d v="2023-07-02T00:00:00"/>
    <s v="Shopee"/>
    <n v="2"/>
    <x v="0"/>
    <x v="1"/>
    <n v="437798"/>
    <n v="218899"/>
    <n v="359000"/>
    <n v="283051.5789473684"/>
    <n v="50000.00000000001"/>
    <n v="0.2284158447503187"/>
    <n v="0.2284158447503187"/>
    <s v="sold"/>
    <s v="-"/>
  </r>
  <r>
    <d v="2023-07-03T00:00:00"/>
    <s v="Shopee"/>
    <n v="1"/>
    <x v="1"/>
    <x v="2"/>
    <n v="297100"/>
    <n v="297100"/>
    <n v="449000"/>
    <n v="365368.4210526316"/>
    <n v="49999.99999999999"/>
    <n v="0.1682935038707506"/>
    <n v="0.1682935038707506"/>
    <s v="sold"/>
    <s v="-"/>
  </r>
  <r>
    <d v="2023-07-04T00:00:00"/>
    <s v="Tokopedia"/>
    <n v="1"/>
    <x v="1"/>
    <x v="2"/>
    <n v="291850"/>
    <n v="291850"/>
    <n v="449000"/>
    <n v="359842.1052631579"/>
    <n v="50000.00000000003"/>
    <n v="0.1713208840157616"/>
    <n v="0.1713208840157616"/>
    <s v="sold"/>
    <s v="-"/>
  </r>
  <r>
    <d v="2023-07-07T00:00:00"/>
    <s v="Lazada"/>
    <n v="8"/>
    <x v="2"/>
    <x v="2"/>
    <n v="3469382.045509301"/>
    <n v="433672.7556886626"/>
    <n v="689000"/>
    <n v="509129.2165143818"/>
    <n v="50000.00000000003"/>
    <n v="0.1152943073876088"/>
    <n v="0.1152943073876088"/>
    <s v="sold"/>
    <s v="-"/>
  </r>
  <r>
    <d v="2023-07-07T00:00:00"/>
    <s v="Lazada"/>
    <n v="1"/>
    <x v="0"/>
    <x v="1"/>
    <n v="227439.5677059111"/>
    <n v="227439.5677059111"/>
    <n v="359000"/>
    <n v="292041.6502167485"/>
    <n v="50000.00000000001"/>
    <n v="0.2198386169316507"/>
    <n v="0.2198386169316507"/>
    <s v="sold"/>
    <s v="-"/>
  </r>
  <r>
    <d v="2023-07-07T00:00:00"/>
    <s v="Lazada"/>
    <n v="2"/>
    <x v="3"/>
    <x v="3"/>
    <n v="467378.1165016859"/>
    <n v="233689.0582508429"/>
    <n v="369000"/>
    <n v="298620.0613166768"/>
    <n v="50000.00000000007"/>
    <n v="0.2139595254234361"/>
    <n v="0.2139595254234361"/>
    <s v="sold"/>
    <s v="-"/>
  </r>
  <r>
    <d v="2023-07-07T00:00:00"/>
    <s v="Lazada"/>
    <n v="2"/>
    <x v="1"/>
    <x v="3"/>
    <n v="567369.9652205957"/>
    <n v="283684.9826102979"/>
    <n v="449000"/>
    <n v="351247.350116103"/>
    <n v="50000.00000000001"/>
    <n v="0.1762518394168426"/>
    <n v="0.1762518394168426"/>
    <s v="sold"/>
    <s v="-"/>
  </r>
  <r>
    <d v="2023-07-07T00:00:00"/>
    <s v="Lazada"/>
    <n v="6"/>
    <x v="1"/>
    <x v="2"/>
    <n v="1702109.895661787"/>
    <n v="283684.9826102979"/>
    <n v="449000"/>
    <n v="351247.350116103"/>
    <n v="50000.00000000001"/>
    <n v="0.1762518394168426"/>
    <n v="0.1762518394168426"/>
    <s v="sold"/>
    <s v="-"/>
  </r>
  <r>
    <d v="2023-07-07T00:00:00"/>
    <s v="Lazada"/>
    <n v="2"/>
    <x v="1"/>
    <x v="4"/>
    <n v="596907.0310592738"/>
    <n v="298453.5155296369"/>
    <n v="449000"/>
    <n v="366793.174241723"/>
    <n v="50000"/>
    <n v="0.1675302765701044"/>
    <n v="0.1675302765701044"/>
    <n v="1"/>
    <n v="298453.5155296369"/>
  </r>
  <r>
    <d v="2023-07-07T00:00:00"/>
    <s v="Lazada"/>
    <n v="2"/>
    <x v="4"/>
    <x v="3"/>
    <n v="542372.0030408683"/>
    <n v="271186.0015204342"/>
    <n v="429000"/>
    <n v="338090.5279162465"/>
    <n v="50000.00000000001"/>
    <n v="0.1843752985761415"/>
    <n v="0.1843752985761415"/>
    <n v="1"/>
    <n v="271186.0015204342"/>
  </r>
  <r>
    <d v="2023-07-07T00:00:00"/>
    <s v="Lazada"/>
    <n v="2"/>
    <x v="5"/>
    <x v="3"/>
    <n v="492376.0786814133"/>
    <n v="246188.0393407067"/>
    <n v="389000"/>
    <n v="311776.8835165334"/>
    <n v="50000.00000000003"/>
    <n v="0.2030967878614265"/>
    <n v="0.2030967878614265"/>
    <n v="1"/>
    <n v="246188.0393407067"/>
  </r>
  <r>
    <d v="2023-07-07T00:00:00"/>
    <s v="Lazada"/>
    <n v="6"/>
    <x v="6"/>
    <x v="2"/>
    <n v="1927091.555279335"/>
    <n v="321181.9258798891"/>
    <n v="509000"/>
    <n v="390717.8167156728"/>
    <n v="50000.00000000004"/>
    <n v="0.1556750114846073"/>
    <n v="0.1556750114846073"/>
    <n v="5"/>
    <n v="1605909.629399446"/>
  </r>
  <r>
    <d v="2023-07-07T00:00:00"/>
    <s v="Lazada"/>
    <n v="4"/>
    <x v="7"/>
    <x v="2"/>
    <n v="1259729.741339829"/>
    <n v="314932.4353349573"/>
    <n v="499000"/>
    <n v="384139.4056157445"/>
    <n v="50000.00000000004"/>
    <n v="0.1587642122248247"/>
    <n v="0.1587642122248247"/>
    <n v="1"/>
    <n v="314932.4353349573"/>
  </r>
  <r>
    <d v="2023-07-07T00:00:00"/>
    <s v="Shopee"/>
    <n v="2"/>
    <x v="4"/>
    <x v="5"/>
    <n v="577793"/>
    <n v="288896.5"/>
    <n v="429000"/>
    <n v="356733.1578947369"/>
    <n v="50000.00000000001"/>
    <n v="0.1730723632858135"/>
    <n v="0.1730723632858135"/>
    <s v="sold"/>
    <s v="-"/>
  </r>
  <r>
    <d v="2023-07-07T00:00:00"/>
    <s v="Shopee"/>
    <n v="1"/>
    <x v="8"/>
    <x v="3"/>
    <n v="330143"/>
    <n v="330143"/>
    <n v="489000"/>
    <n v="400150.5263157895"/>
    <n v="50000.00000000001"/>
    <n v="0.1514495233883499"/>
    <n v="0.1514495233883499"/>
    <n v="1"/>
    <n v="330143"/>
  </r>
  <r>
    <d v="2023-07-08T00:00:00"/>
    <s v="Shopee"/>
    <n v="1"/>
    <x v="5"/>
    <x v="1"/>
    <n v="276550"/>
    <n v="276550"/>
    <n v="389000"/>
    <n v="343736.8421052631"/>
    <n v="49999.99999999999"/>
    <n v="0.1807991321641656"/>
    <n v="0.1807991321641656"/>
    <s v="sold"/>
    <s v="-"/>
  </r>
  <r>
    <d v="2023-07-12T00:00:00"/>
    <s v="Lazada"/>
    <n v="3"/>
    <x v="6"/>
    <x v="1"/>
    <n v="1077000"/>
    <n v="359000"/>
    <n v="509000"/>
    <n v="430526.3157894737"/>
    <n v="50000.00000000002"/>
    <n v="0.1392757660167132"/>
    <n v="0.1392757660167132"/>
    <n v="3"/>
    <n v="1077000"/>
  </r>
  <r>
    <d v="2023-07-19T00:00:00"/>
    <s v="Shopee"/>
    <n v="1"/>
    <x v="9"/>
    <x v="6"/>
    <n v="59375"/>
    <s v="-"/>
    <s v="-"/>
    <s v=""/>
    <s v="-"/>
    <s v="-"/>
    <s v=""/>
    <s v="-"/>
    <s v="-"/>
  </r>
  <r>
    <d v="2023-07-29T00:00:00"/>
    <s v="Shopee"/>
    <n v="3"/>
    <x v="8"/>
    <x v="2"/>
    <n v="901650"/>
    <n v="300550"/>
    <n v="489000"/>
    <n v="369000"/>
    <n v="50000"/>
    <n v="0.1663616702711695"/>
    <n v="0.1663616702711695"/>
    <n v="1"/>
    <n v="300550"/>
  </r>
  <r>
    <d v="2023-07-29T00:00:00"/>
    <s v="Shopee"/>
    <n v="1"/>
    <x v="10"/>
    <x v="6"/>
    <n v="38720"/>
    <s v="-"/>
    <s v="-"/>
    <s v=""/>
    <s v="-"/>
    <s v="-"/>
    <s v=""/>
    <s v="-"/>
    <s v="-"/>
  </r>
  <r>
    <d v="2023-08-01T00:00:00"/>
    <s v="Lazada"/>
    <n v="3"/>
    <x v="1"/>
    <x v="2"/>
    <n v="933584"/>
    <n v="311194.6666666667"/>
    <n v="449000"/>
    <n v="380204.9122807018"/>
    <n v="50000.00000000002"/>
    <n v="0.1606711340382869"/>
    <n v="0.1606711340382869"/>
    <s v="sold"/>
    <s v="-"/>
  </r>
  <r>
    <d v="2023-08-08T00:00:00"/>
    <s v="Lazada"/>
    <n v="2"/>
    <x v="11"/>
    <x v="7"/>
    <n v="733256.6666666666"/>
    <n v="366628.3333333333"/>
    <n v="529000"/>
    <n v="438556.1403508772"/>
    <n v="50000.00000000001"/>
    <n v="0.1363778940525601"/>
    <n v="0.1363778940525601"/>
    <s v="sold"/>
    <s v="-"/>
  </r>
  <r>
    <d v="2023-08-08T00:00:00"/>
    <s v="Lazada"/>
    <n v="1"/>
    <x v="11"/>
    <x v="8"/>
    <n v="366628.3333333333"/>
    <n v="366628.3333333333"/>
    <n v="529000"/>
    <n v="438556.1403508772"/>
    <n v="50000.00000000001"/>
    <n v="0.1363778940525601"/>
    <n v="0.1363778940525601"/>
    <s v="sold"/>
    <s v="-"/>
  </r>
  <r>
    <d v="2023-08-08T00:00:00"/>
    <s v="Shopee"/>
    <n v="2"/>
    <x v="2"/>
    <x v="9"/>
    <n v="919000"/>
    <n v="459500"/>
    <n v="689000"/>
    <n v="536315.7894736843"/>
    <n v="50000.00000000006"/>
    <n v="0.1088139281828075"/>
    <n v="0.1088139281828075"/>
    <s v="sold"/>
    <s v="-"/>
  </r>
  <r>
    <d v="2023-08-08T00:00:00"/>
    <s v="Shopee"/>
    <n v="1"/>
    <x v="11"/>
    <x v="8"/>
    <n v="382559.5"/>
    <n v="382559.5"/>
    <n v="529000"/>
    <n v="455325.7894736842"/>
    <n v="50000"/>
    <n v="0.1306986233514002"/>
    <n v="0.1306986233514002"/>
    <s v="sold"/>
    <s v="-"/>
  </r>
  <r>
    <d v="2023-08-08T00:00:00"/>
    <s v="Shopee"/>
    <n v="1"/>
    <x v="11"/>
    <x v="10"/>
    <n v="382559.5"/>
    <n v="382559.5"/>
    <n v="529000"/>
    <n v="455325.7894736842"/>
    <n v="50000"/>
    <n v="0.1306986233514002"/>
    <n v="0.1306986233514002"/>
    <n v="1"/>
    <n v="382559.5"/>
  </r>
  <r>
    <d v="2023-08-08T00:00:00"/>
    <s v="Shopee"/>
    <n v="1"/>
    <x v="1"/>
    <x v="3"/>
    <n v="290716.6666666667"/>
    <n v="290716.6666666667"/>
    <n v="449000"/>
    <n v="358649.1228070176"/>
    <n v="50000.00000000001"/>
    <n v="0.1719887634007912"/>
    <n v="0.1719887634007912"/>
    <s v="sold"/>
    <s v="-"/>
  </r>
  <r>
    <d v="2023-08-08T00:00:00"/>
    <s v="Shopee"/>
    <n v="2"/>
    <x v="1"/>
    <x v="2"/>
    <n v="581433.3333333334"/>
    <n v="290716.6666666667"/>
    <n v="449000"/>
    <n v="358649.1228070176"/>
    <n v="50000.00000000001"/>
    <n v="0.1719887634007912"/>
    <n v="0.1719887634007912"/>
    <n v="2"/>
    <n v="581433.3333333334"/>
  </r>
  <r>
    <d v="2023-08-09T00:00:00"/>
    <s v="Lazada"/>
    <n v="2"/>
    <x v="12"/>
    <x v="1"/>
    <n v="570497.9076792173"/>
    <n v="285248.9538396086"/>
    <n v="439000"/>
    <n v="352893.6356206407"/>
    <n v="50000.00000000003"/>
    <n v="0.1752854807247227"/>
    <n v="0.1752854807247227"/>
    <n v="2"/>
    <n v="570497.9076792173"/>
  </r>
  <r>
    <d v="2023-08-09T00:00:00"/>
    <s v="Lazada"/>
    <n v="1"/>
    <x v="2"/>
    <x v="9"/>
    <n v="451298.0923207828"/>
    <n v="451298.0923207828"/>
    <n v="689000"/>
    <n v="527682.2024429293"/>
    <n v="49999.99999999997"/>
    <n v="0.1107915164074302"/>
    <n v="0.1107915164074302"/>
    <s v="sold"/>
    <s v="-"/>
  </r>
  <r>
    <d v="2023-09-03T00:00:00"/>
    <s v="Lazada"/>
    <n v="1"/>
    <x v="5"/>
    <x v="1"/>
    <n v="235000"/>
    <n v="235000"/>
    <n v="389000"/>
    <n v="300000"/>
    <n v="50000"/>
    <n v="0.2127659574468085"/>
    <n v="0.2127659574468085"/>
    <s v="sold"/>
    <s v="-"/>
  </r>
  <r>
    <d v="2023-09-09T00:00:00"/>
    <s v="Shopee"/>
    <n v="10"/>
    <x v="13"/>
    <x v="2"/>
    <n v="4008071"/>
    <n v="400807.1"/>
    <n v="579000"/>
    <n v="474533.7894736842"/>
    <n v="50000.00000000003"/>
    <n v="0.1247482891395887"/>
    <n v="0.1247482891395887"/>
    <n v="9"/>
    <n v="3607263.9"/>
  </r>
  <r>
    <d v="2023-09-09T00:00:00"/>
    <s v="Lazada"/>
    <n v="7"/>
    <x v="14"/>
    <x v="2"/>
    <n v="2423215"/>
    <n v="346173.5714285714"/>
    <n v="519000"/>
    <n v="417024.8120300752"/>
    <n v="50000"/>
    <n v="0.144436213872892"/>
    <n v="0.144436213872892"/>
    <n v="6"/>
    <n v="2077041.428571429"/>
  </r>
  <r>
    <d v="2023-09-09T00:00:00"/>
    <s v="Shopee"/>
    <n v="1"/>
    <x v="4"/>
    <x v="2"/>
    <n v="291816.6666666667"/>
    <n v="291816.6666666667"/>
    <n v="429000"/>
    <n v="359807.0175438597"/>
    <n v="49999.99999999999"/>
    <n v="0.1713404534810669"/>
    <n v="0.1713404534810669"/>
    <n v="1"/>
    <n v="291816.6666666667"/>
  </r>
  <r>
    <d v="2023-09-09T00:00:00"/>
    <s v="Lazada"/>
    <n v="2"/>
    <x v="5"/>
    <x v="1"/>
    <n v="537090"/>
    <n v="268545"/>
    <n v="389000"/>
    <n v="335310.5263157895"/>
    <n v="50000.00000000001"/>
    <n v="0.1861885345100449"/>
    <n v="0.1861885345100449"/>
    <n v="1"/>
    <n v="268545"/>
  </r>
  <r>
    <d v="2023-09-09T00:00:00"/>
    <s v="Shopee"/>
    <n v="1"/>
    <x v="15"/>
    <x v="3"/>
    <n v="179100"/>
    <n v="179100"/>
    <n v="629000"/>
    <n v="241157.8947368421"/>
    <n v="50000"/>
    <n v="0.2791736460078169"/>
    <n v="0.2791736460078169"/>
    <s v="sold"/>
    <s v="-"/>
  </r>
  <r>
    <d v="2023-09-10T00:00:00"/>
    <s v="Lazada"/>
    <n v="2"/>
    <x v="14"/>
    <x v="2"/>
    <n v="697115.3333333334"/>
    <n v="348557.6666666667"/>
    <n v="519000"/>
    <n v="419534.3859649123"/>
    <n v="50000"/>
    <n v="0.1434482864145866"/>
    <n v="0.1434482864145866"/>
    <n v="2"/>
    <n v="697115.3333333334"/>
  </r>
  <r>
    <d v="2023-09-10T00:00:00"/>
    <s v="Lazada"/>
    <n v="1"/>
    <x v="14"/>
    <x v="11"/>
    <n v="348557.6666666667"/>
    <n v="348557.6666666667"/>
    <n v="519000"/>
    <n v="419534.3859649123"/>
    <n v="50000"/>
    <n v="0.1434482864145866"/>
    <n v="0.1434482864145866"/>
    <n v="1"/>
    <n v="348557.6666666667"/>
  </r>
  <r>
    <d v="2023-09-11T00:00:00"/>
    <s v="Lazada"/>
    <n v="1"/>
    <x v="8"/>
    <x v="2"/>
    <n v="323000"/>
    <n v="323000"/>
    <n v="489000"/>
    <n v="392631.5789473684"/>
    <n v="50000"/>
    <n v="0.1547987616099071"/>
    <n v="0.1547987616099071"/>
    <n v="1"/>
    <n v="323000"/>
  </r>
  <r>
    <d v="2023-09-14T00:00:00"/>
    <s v="Tokopedia"/>
    <n v="2"/>
    <x v="11"/>
    <x v="7"/>
    <n v="792384"/>
    <n v="396192"/>
    <n v="529000"/>
    <n v="469675.7894736842"/>
    <n v="50000"/>
    <n v="0.1262014376867781"/>
    <n v="0.1262014376867781"/>
    <n v="2"/>
    <n v="792384"/>
  </r>
  <r>
    <d v="2023-09-15T00:00:00"/>
    <s v="Shopee"/>
    <n v="3"/>
    <x v="13"/>
    <x v="2"/>
    <n v="1096300"/>
    <n v="365433.3333333333"/>
    <n v="579000"/>
    <n v="437298.2456140351"/>
    <n v="50000.00000000004"/>
    <n v="0.1368238620815471"/>
    <n v="0.1368238620815471"/>
    <n v="3"/>
    <n v="1096300"/>
  </r>
  <r>
    <d v="2023-09-21T00:00:00"/>
    <s v="Shopee"/>
    <n v="3"/>
    <x v="13"/>
    <x v="3"/>
    <n v="1058720"/>
    <n v="352906.6666666667"/>
    <n v="579000"/>
    <n v="424112.2807017544"/>
    <n v="50000.00000000003"/>
    <n v="0.1416805198730543"/>
    <n v="0.1416805198730543"/>
    <n v="3"/>
    <n v="1058720"/>
  </r>
  <r>
    <d v="2023-09-25T00:00:00"/>
    <s v="Shopee"/>
    <n v="2"/>
    <x v="13"/>
    <x v="4"/>
    <n v="860585"/>
    <n v="430292.5"/>
    <n v="579000"/>
    <n v="505571.052631579"/>
    <n v="50000.00000000004"/>
    <n v="0.1162000267260063"/>
    <n v="0.1162000267260063"/>
    <n v="1"/>
    <n v="430292.5"/>
  </r>
  <r>
    <d v="2023-09-26T00:00:00"/>
    <s v="Shopee"/>
    <n v="2"/>
    <x v="13"/>
    <x v="4"/>
    <n v="846095"/>
    <n v="423047.5"/>
    <n v="579000"/>
    <n v="497944.7368421053"/>
    <n v="50000.00000000001"/>
    <n v="0.1181900377617171"/>
    <n v="0.1181900377617171"/>
    <n v="2"/>
    <n v="846095"/>
  </r>
  <r>
    <d v="2023-09-27T00:00:00"/>
    <s v="Shopee"/>
    <n v="2"/>
    <x v="13"/>
    <x v="4"/>
    <n v="729000"/>
    <n v="364500"/>
    <n v="579000"/>
    <n v="436315.7894736842"/>
    <n v="50000"/>
    <n v="0.1371742112482853"/>
    <n v="0.1371742112482853"/>
    <n v="2"/>
    <n v="729000"/>
  </r>
  <r>
    <d v="2023-10-03T00:00:00"/>
    <s v="Lazada"/>
    <n v="1"/>
    <x v="12"/>
    <x v="0"/>
    <n v="278152"/>
    <n v="278152"/>
    <n v="439000"/>
    <n v="345423.1578947369"/>
    <n v="50000.00000000001"/>
    <n v="0.1797578302510858"/>
    <n v="0.1797578302510858"/>
    <n v="1"/>
    <n v="278152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ivotTable4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8" indent="0" showEmptyRow="0" showEmptyCol="0" showHeaders="1" compact="0" outline="0" outlineData="0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V3:AA51" firstHeaderRow="0" firstDataRow="1" firstDataCol="2"/>
  <pivotFields count="14">
    <pivotField showDropDowns="1" compact="0" numFmtId="164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dataField="1" showDropDowns="1" compact="0" outline="0" subtotalTop="1" dragToRow="1" dragToCol="1" dragToPage="1" dragToData="1" dragOff="1" showAll="0" topAutoShow="1" itemPageCount="10" sortType="manual" defaultSubtotal="1"/>
    <pivotField axis="axisRow" showDropDowns="1" compact="0" outline="0" subtotalTop="1" dragToRow="1" dragToCol="1" dragToPage="1" dragToData="1" dragOff="1" showAll="0" topAutoShow="1" itemPageCount="10" sortType="manual" defaultSubtotal="1">
      <items count="17">
        <item t="data" sd="1" x="9"/>
        <item t="data" sd="1" x="4"/>
        <item t="data" sd="1" x="3"/>
        <item t="data" sd="1" x="13"/>
        <item t="data" sd="1" x="6"/>
        <item t="data" sd="1" x="8"/>
        <item t="data" sd="1" x="14"/>
        <item t="data" sd="1" x="2"/>
        <item t="data" sd="1" x="7"/>
        <item t="data" sd="1" x="0"/>
        <item t="data" sd="1" x="12"/>
        <item t="data" sd="1" x="1"/>
        <item t="data" sd="1" x="5"/>
        <item t="data" sd="1" x="11"/>
        <item t="data" sd="1" x="15"/>
        <item t="data" sd="1" x="10"/>
        <item t="default" sd="1"/>
      </items>
    </pivotField>
    <pivotField axis="axisRow" showDropDowns="1" compact="0" outline="0" subtotalTop="1" dragToRow="1" dragToCol="1" dragToPage="1" dragToData="1" dragOff="1" showAll="0" topAutoShow="1" itemPageCount="10" sortType="manual" defaultSubtotal="1">
      <items count="13">
        <item t="data" sd="1" x="6"/>
        <item t="data" sd="1" x="8"/>
        <item t="data" sd="1" x="2"/>
        <item t="data" sd="1" x="0"/>
        <item t="data" sd="1" x="10"/>
        <item t="data" sd="1" x="7"/>
        <item t="data" sd="1" x="9"/>
        <item t="data" sd="1" x="5"/>
        <item t="data" sd="1" x="4"/>
        <item t="data" sd="1" x="11"/>
        <item t="data" sd="1" x="3"/>
        <item t="data" sd="1" x="1"/>
        <item t="default" sd="1"/>
      </items>
    </pivotField>
    <pivotField dataField="1" showDropDowns="1" compact="0" numFmtId="3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dataField="1" showDropDowns="1" compact="0" outline="0" subtotalTop="1" dragToRow="1" dragToCol="1" dragToPage="1" dragToData="1" dragOff="1" showAll="0" topAutoShow="1" itemPageCount="10" sortType="manual" defaultSubtotal="1"/>
    <pivotField dataField="1" showDropDowns="1" compact="0" outline="0" subtotalTop="1" dragToRow="1" dragToCol="1" dragToPage="1" dragToData="1" dragOff="1" showAll="0" topAutoShow="1" itemPageCount="10" sortType="manual" defaultSubtotal="1"/>
  </pivotFields>
  <rowFields count="2">
    <field x="3"/>
    <field x="4"/>
  </rowFields>
  <rowItems count="48">
    <i t="data" r="0" i="0">
      <x v="0"/>
      <x v="0"/>
    </i>
    <i t="default" r="0" i="0">
      <x v="0"/>
    </i>
    <i t="data" r="0" i="0">
      <x v="1"/>
      <x v="2"/>
    </i>
    <i t="data" r="1" i="0">
      <x v="7"/>
    </i>
    <i t="data" r="1" i="0">
      <x v="10"/>
    </i>
    <i t="default" r="0" i="0">
      <x v="1"/>
    </i>
    <i t="data" r="0" i="0">
      <x v="2"/>
      <x v="10"/>
    </i>
    <i t="default" r="0" i="0">
      <x v="2"/>
    </i>
    <i t="data" r="0" i="0">
      <x v="3"/>
      <x v="2"/>
    </i>
    <i t="data" r="1" i="0">
      <x v="8"/>
    </i>
    <i t="data" r="1" i="0">
      <x v="10"/>
    </i>
    <i t="default" r="0" i="0">
      <x v="3"/>
    </i>
    <i t="data" r="0" i="0">
      <x v="4"/>
      <x v="2"/>
    </i>
    <i t="data" r="1" i="0">
      <x v="11"/>
    </i>
    <i t="default" r="0" i="0">
      <x v="4"/>
    </i>
    <i t="data" r="0" i="0">
      <x v="5"/>
      <x v="2"/>
    </i>
    <i t="data" r="1" i="0">
      <x v="10"/>
    </i>
    <i t="default" r="0" i="0">
      <x v="5"/>
    </i>
    <i t="data" r="0" i="0">
      <x v="6"/>
      <x v="2"/>
    </i>
    <i t="data" r="1" i="0">
      <x v="9"/>
    </i>
    <i t="default" r="0" i="0">
      <x v="6"/>
    </i>
    <i t="data" r="0" i="0">
      <x v="7"/>
      <x v="2"/>
    </i>
    <i t="data" r="1" i="0">
      <x v="6"/>
    </i>
    <i t="default" r="0" i="0">
      <x v="7"/>
    </i>
    <i t="data" r="0" i="0">
      <x v="8"/>
      <x v="2"/>
    </i>
    <i t="default" r="0" i="0">
      <x v="8"/>
    </i>
    <i t="data" r="0" i="0">
      <x v="9"/>
      <x v="3"/>
    </i>
    <i t="data" r="1" i="0">
      <x v="11"/>
    </i>
    <i t="default" r="0" i="0">
      <x v="9"/>
    </i>
    <i t="data" r="0" i="0">
      <x v="10"/>
      <x v="3"/>
    </i>
    <i t="data" r="1" i="0">
      <x v="11"/>
    </i>
    <i t="default" r="0" i="0">
      <x v="10"/>
    </i>
    <i t="data" r="0" i="0">
      <x v="11"/>
      <x v="2"/>
    </i>
    <i t="data" r="1" i="0">
      <x v="8"/>
    </i>
    <i t="data" r="1" i="0">
      <x v="10"/>
    </i>
    <i t="default" r="0" i="0">
      <x v="11"/>
    </i>
    <i t="data" r="0" i="0">
      <x v="12"/>
      <x v="10"/>
    </i>
    <i t="data" r="1" i="0">
      <x v="11"/>
    </i>
    <i t="default" r="0" i="0">
      <x v="12"/>
    </i>
    <i t="data" r="0" i="0">
      <x v="13"/>
      <x v="1"/>
    </i>
    <i t="data" r="1" i="0">
      <x v="4"/>
    </i>
    <i t="data" r="1" i="0">
      <x v="5"/>
    </i>
    <i t="default" r="0" i="0">
      <x v="13"/>
    </i>
    <i t="data" r="0" i="0">
      <x v="14"/>
      <x v="10"/>
    </i>
    <i t="default" r="0" i="0">
      <x v="14"/>
    </i>
    <i t="data" r="0" i="0">
      <x v="15"/>
      <x v="0"/>
    </i>
    <i t="default" r="0" i="0">
      <x v="15"/>
    </i>
    <i t="grand" r="0" i="0">
      <x v="0"/>
    </i>
  </rowItems>
  <colFields count="1">
    <field x="-2"/>
  </colFields>
  <colItems count="4">
    <i t="data" r="0" i="0">
      <x v="0"/>
    </i>
    <i t="data" r="0" i="1">
      <x v="1"/>
    </i>
    <i t="data" r="0" i="2">
      <x v="2"/>
    </i>
    <i t="data" r="0" i="3">
      <x v="3"/>
    </i>
  </colItems>
  <dataFields count="4">
    <dataField name="Sum of Qty" fld="2" subtotal="sum" showDataAs="normal" baseField="0" baseItem="0"/>
    <dataField name="Sum of Buying Total Price" fld="5" subtotal="sum" showDataAs="normal" baseField="3" baseItem="0" numFmtId="3"/>
    <dataField name="Sum of Balance" fld="12" subtotal="sum" showDataAs="normal" baseField="3" baseItem="0"/>
    <dataField name="Sum of Balance Total" fld="13" subtotal="sum" showDataAs="normal" baseField="3" baseItem="0" numFmtId="3"/>
  </dataFields>
  <formats count="2">
    <format action="formatting" dxfId="6">
      <pivotArea field="3" type="button" dataOnly="0" labelOnly="1" outline="0" axis="axisRow" fieldPosition="0"/>
    </format>
    <format action="formatting" dxfId="5">
      <pivotArea type="normal" dataOnly="0" labelOnly="1" outline="0" fieldPosition="0">
        <references count="1">
          <reference field="4294967294">
            <x v="0"/>
            <x v="1"/>
            <x v="2"/>
            <x v="3"/>
          </reference>
        </references>
      </pivotArea>
    </format>
  </formats>
  <pivotTableStyleInfo name="PivotStyleLight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pivotTable" Target="/xl/pivotTables/pivot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N4" sqref="N4"/>
    </sheetView>
  </sheetViews>
  <sheetFormatPr baseColWidth="8" defaultColWidth="9.140625" defaultRowHeight="15"/>
  <cols>
    <col width="18" bestFit="1" customWidth="1" style="3" min="1" max="1"/>
    <col width="10.140625" customWidth="1" style="1" min="2" max="2"/>
    <col width="9.140625" customWidth="1" style="1" min="3" max="3"/>
    <col width="38.5703125" bestFit="1" customWidth="1" style="4" min="4" max="4"/>
    <col width="9.140625" customWidth="1" style="1" min="5" max="5"/>
    <col width="18.140625" customWidth="1" style="2" min="6" max="6"/>
    <col width="11.5703125" customWidth="1" style="2" min="7" max="7"/>
    <col width="10.5703125" customWidth="1" style="2" min="8" max="8"/>
    <col width="21.140625" customWidth="1" style="2" min="9" max="9"/>
    <col width="16.7109375" customWidth="1" style="2" min="10" max="10"/>
    <col width="22.42578125" bestFit="1" customWidth="1" style="2" min="11" max="11"/>
    <col width="14.5703125" customWidth="1" style="2" min="12" max="13"/>
    <col width="20.7109375" bestFit="1" customWidth="1" min="14" max="14"/>
    <col width="14.5703125" customWidth="1" style="2" min="15" max="15"/>
    <col width="42.28515625" bestFit="1" customWidth="1" style="1" min="16" max="16"/>
    <col width="9.5703125" bestFit="1" customWidth="1" style="2" min="17" max="17"/>
    <col width="10.42578125" bestFit="1" customWidth="1" style="1" min="18" max="18"/>
    <col width="22.5703125" bestFit="1" customWidth="1" style="1" min="19" max="19"/>
    <col width="14" bestFit="1" customWidth="1" style="1" min="20" max="20"/>
    <col width="18.7109375" bestFit="1" customWidth="1" style="1" min="21" max="21"/>
    <col width="9.140625" customWidth="1" style="1" min="22" max="22"/>
    <col width="9.140625" bestFit="1" customWidth="1" style="1" min="23" max="23"/>
    <col width="10.140625" bestFit="1" customWidth="1" style="1" min="24" max="24"/>
    <col width="22.140625" bestFit="1" customWidth="1" style="1" min="25" max="25"/>
    <col width="13.5703125" bestFit="1" customWidth="1" style="1" min="26" max="26"/>
    <col width="18.42578125" bestFit="1" customWidth="1" style="1" min="27" max="27"/>
    <col width="9.140625" customWidth="1" style="1" min="28" max="16384"/>
  </cols>
  <sheetData>
    <row r="1">
      <c r="A1" s="5" t="inlineStr">
        <is>
          <t>Purchase History &amp; Expenses</t>
        </is>
      </c>
      <c r="B1" s="6" t="n"/>
    </row>
    <row r="2" ht="6.6" customHeight="1">
      <c r="A2" s="7" t="n"/>
    </row>
    <row r="3">
      <c r="A3" s="40" t="inlineStr">
        <is>
          <t>Purchase Date</t>
        </is>
      </c>
      <c r="B3" s="41" t="inlineStr">
        <is>
          <t>Source</t>
        </is>
      </c>
      <c r="C3" s="41" t="inlineStr">
        <is>
          <t>Qty</t>
        </is>
      </c>
      <c r="D3" s="41" t="inlineStr">
        <is>
          <t>Items</t>
        </is>
      </c>
      <c r="E3" s="41" t="inlineStr">
        <is>
          <t>Color</t>
        </is>
      </c>
      <c r="F3" s="42" t="inlineStr">
        <is>
          <t>Buying Total Price</t>
        </is>
      </c>
      <c r="G3" s="42" t="inlineStr">
        <is>
          <t>Price/Unit</t>
        </is>
      </c>
      <c r="H3" s="43" t="inlineStr">
        <is>
          <t>Price List</t>
        </is>
      </c>
      <c r="I3" s="43" t="inlineStr">
        <is>
          <t>Selling Price Target</t>
        </is>
      </c>
      <c r="J3" s="43" t="inlineStr">
        <is>
          <t>Estimated Profit</t>
        </is>
      </c>
      <c r="K3" s="43" t="inlineStr">
        <is>
          <t>% Estimated Profit</t>
        </is>
      </c>
      <c r="L3" s="43" t="inlineStr">
        <is>
          <t>Balance</t>
        </is>
      </c>
      <c r="M3" s="44" t="inlineStr">
        <is>
          <t>Balance Total</t>
        </is>
      </c>
      <c r="N3" s="50" t="inlineStr">
        <is>
          <t>Cumulative</t>
        </is>
      </c>
      <c r="P3" s="11" t="inlineStr">
        <is>
          <t>Items</t>
        </is>
      </c>
      <c r="Q3" s="16" t="inlineStr">
        <is>
          <t>Price List</t>
        </is>
      </c>
      <c r="S3" s="11" t="inlineStr">
        <is>
          <t>Colors</t>
        </is>
      </c>
      <c r="T3" s="11" t="inlineStr">
        <is>
          <t>Source</t>
        </is>
      </c>
      <c r="V3" s="48" t="inlineStr">
        <is>
          <t>Items</t>
        </is>
      </c>
      <c r="W3" s="47" t="inlineStr">
        <is>
          <t>Color</t>
        </is>
      </c>
      <c r="X3" s="1" t="inlineStr">
        <is>
          <t>Sum of Qty</t>
        </is>
      </c>
      <c r="Y3" s="1" t="inlineStr">
        <is>
          <t>Sum of Buying Total Price</t>
        </is>
      </c>
      <c r="Z3" s="1" t="inlineStr">
        <is>
          <t>Sum of Balance</t>
        </is>
      </c>
      <c r="AA3" s="1" t="inlineStr">
        <is>
          <t>Sum of Balance Total</t>
        </is>
      </c>
    </row>
    <row r="4">
      <c r="A4" s="12" t="n">
        <v>45109</v>
      </c>
      <c r="B4" s="13" t="inlineStr">
        <is>
          <t>Shopee</t>
        </is>
      </c>
      <c r="C4" s="13" t="n">
        <v>2</v>
      </c>
      <c r="D4" s="14" t="inlineStr">
        <is>
          <t>Eiger Starter Daypack 16L</t>
        </is>
      </c>
      <c r="E4" s="13" t="inlineStr">
        <is>
          <t>Blue</t>
        </is>
      </c>
      <c r="F4" s="15">
        <f>(875596/4)*2</f>
        <v/>
      </c>
      <c r="G4" s="15">
        <f>IF(Purchase!$E4="-","-",F4/C4)</f>
        <v/>
      </c>
      <c r="H4" s="15">
        <f>IFERROR(VLOOKUP(D4,$P$4:$Q$23,2,FALSE),"-")</f>
        <v/>
      </c>
      <c r="I4" s="2">
        <f>IF(E4="-","-",(G4+50000)/0.95)</f>
        <v/>
      </c>
      <c r="J4" s="2">
        <f>IF(E4="-","-",I4-G4-(5%*I4))</f>
        <v/>
      </c>
      <c r="K4" s="17">
        <f>IFERROR(J4/G4,"-")</f>
        <v/>
      </c>
      <c r="L4" s="45">
        <f>IF(E4="-","-",IF(COUNTIFS(Sales!$D$4:$D$60,Purchase!D4,Sales!$E$4:$E$60,Purchase!E4,Sales!$F$4:$F$60,Purchase!A4,Sales!$G$4:$G$60,Purchase!B4)=C4,"sold",C4-COUNTIFS(Sales!$D$4:$D$60,Purchase!D4,Sales!$E$4:$E$60,Purchase!E4,Sales!$F$4:$F$60,Purchase!A4,Sales!$G$4:$G$60,Purchase!B4)))</f>
        <v/>
      </c>
      <c r="M4" s="2">
        <f>IF(Purchase!$E4="-","-",IF(OR(Purchase!$L4="sold",Purchase!$L4="-"),"-",Purchase!$L4*Purchase!$G4))</f>
        <v/>
      </c>
      <c r="N4">
        <f>SUMIFS(C$4:C4,D$4:D4,D4,E$4:E4,E4)</f>
        <v/>
      </c>
      <c r="P4" s="4" t="inlineStr">
        <is>
          <t>Eiger Starter Daypack 16L</t>
        </is>
      </c>
      <c r="Q4" s="2" t="n">
        <v>359000</v>
      </c>
      <c r="S4" s="1" t="inlineStr">
        <is>
          <t>Blue</t>
        </is>
      </c>
      <c r="T4" s="1" t="inlineStr">
        <is>
          <t>Shopee</t>
        </is>
      </c>
      <c r="V4" t="inlineStr">
        <is>
          <t>Bubble wrap [Person_1]</t>
        </is>
      </c>
      <c r="W4" t="inlineStr">
        <is>
          <t>-</t>
        </is>
      </c>
      <c r="X4" t="n">
        <v>1</v>
      </c>
      <c r="Y4" s="26" t="n">
        <v>59375</v>
      </c>
      <c r="Z4" t="n">
        <v>0</v>
      </c>
      <c r="AA4" s="26" t="n">
        <v>0</v>
      </c>
    </row>
    <row r="5">
      <c r="A5" s="12" t="n">
        <v>45109</v>
      </c>
      <c r="B5" s="13" t="inlineStr">
        <is>
          <t>Shopee</t>
        </is>
      </c>
      <c r="C5" s="13" t="n">
        <v>2</v>
      </c>
      <c r="D5" s="14" t="inlineStr">
        <is>
          <t>Eiger Starter Daypack 16L</t>
        </is>
      </c>
      <c r="E5" s="13" t="inlineStr">
        <is>
          <t>Olive</t>
        </is>
      </c>
      <c r="F5" s="15">
        <f>F4</f>
        <v/>
      </c>
      <c r="G5" s="15">
        <f>IF(Purchase!$E5="-","-",F5/C5)</f>
        <v/>
      </c>
      <c r="H5" s="15">
        <f>IFERROR(VLOOKUP(D5,$P$4:$Q$23,2,FALSE),"-")</f>
        <v/>
      </c>
      <c r="I5" s="2">
        <f>IF(E5="-","-",(G5+50000)/0.95)</f>
        <v/>
      </c>
      <c r="J5" s="2">
        <f>IF(E5="-","-",I5-G5-(5%*I5))</f>
        <v/>
      </c>
      <c r="K5" s="17">
        <f>IFERROR(J5/G5,"-")</f>
        <v/>
      </c>
      <c r="L5" s="45">
        <f>IF(E5="-","-",IF(COUNTIFS(Sales!$D$4:$D$60,Purchase!D5,Sales!$E$4:$E$60,Purchase!E5,Sales!$F$4:$F$60,Purchase!A5,Sales!$G$4:$G$60,Purchase!B5)=C5,"sold",C5-COUNTIFS(Sales!$D$4:$D$60,Purchase!D5,Sales!$E$4:$E$60,Purchase!E5,Sales!$F$4:$F$60,Purchase!A5,Sales!$G$4:$G$60,Purchase!B5)))</f>
        <v/>
      </c>
      <c r="M5" s="2">
        <f>IF(Purchase!$E5="-","-",IF(OR(Purchase!$L5="sold",Purchase!$L5="-"),"-",Purchase!$L5*Purchase!$G5))</f>
        <v/>
      </c>
      <c r="N5">
        <f>SUMIFS(C$4:C5,D$4:D5,D5,E$4:E5,E5)</f>
        <v/>
      </c>
      <c r="P5" s="4" t="inlineStr">
        <is>
          <t>Eiger Meridian 30L Laptop Backpack</t>
        </is>
      </c>
      <c r="Q5" s="2" t="n">
        <v>689000</v>
      </c>
      <c r="S5" s="1" t="inlineStr">
        <is>
          <t>Black</t>
        </is>
      </c>
      <c r="T5" s="1" t="inlineStr">
        <is>
          <t>Tokopedia</t>
        </is>
      </c>
      <c r="V5" t="inlineStr">
        <is>
          <t>Bubble wrap dan lakban Total</t>
        </is>
      </c>
      <c r="X5" t="n">
        <v>1</v>
      </c>
      <c r="Y5" s="26" t="n">
        <v>59375</v>
      </c>
      <c r="Z5" t="n">
        <v>0</v>
      </c>
      <c r="AA5" s="26" t="n">
        <v>0</v>
      </c>
    </row>
    <row r="6">
      <c r="A6" s="12" t="n">
        <v>45110</v>
      </c>
      <c r="B6" s="13" t="inlineStr">
        <is>
          <t>Shopee</t>
        </is>
      </c>
      <c r="C6" s="13" t="n">
        <v>1</v>
      </c>
      <c r="D6" s="4" t="inlineStr">
        <is>
          <t>[Person_2] Backpack 20L</t>
        </is>
      </c>
      <c r="E6" s="13" t="inlineStr">
        <is>
          <t>Black</t>
        </is>
      </c>
      <c r="F6" s="15" t="n">
        <v>297100</v>
      </c>
      <c r="G6" s="15">
        <f>IF(Purchase!$E6="-","-",F6/C6)</f>
        <v/>
      </c>
      <c r="H6" s="15">
        <f>IFERROR(VLOOKUP(D6,$P$4:$Q$23,2,FALSE),"-")</f>
        <v/>
      </c>
      <c r="I6" s="2">
        <f>IF(E6="-","-",(G6+50000)/0.95)</f>
        <v/>
      </c>
      <c r="J6" s="2">
        <f>IF(E6="-","-",I6-G6-(5%*I6))</f>
        <v/>
      </c>
      <c r="K6" s="17">
        <f>IFERROR(J6/G6,"-")</f>
        <v/>
      </c>
      <c r="L6" s="45">
        <f>IF(E6="-","-",IF(COUNTIFS(Sales!$D$4:$D$60,Purchase!D6,Sales!$E$4:$E$60,Purchase!E6,Sales!$F$4:$F$60,Purchase!A6,Sales!$G$4:$G$60,Purchase!B6)=C6,"sold",C6-COUNTIFS(Sales!$D$4:$D$60,Purchase!D6,Sales!$E$4:$E$60,Purchase!E6,Sales!$F$4:$F$60,Purchase!A6,Sales!$G$4:$G$60,Purchase!B6)))</f>
        <v/>
      </c>
      <c r="M6" s="2">
        <f>IF(Purchase!$E6="-","-",IF(OR(Purchase!$L6="sold",Purchase!$L6="-"),"-",Purchase!$L6*Purchase!$G6))</f>
        <v/>
      </c>
      <c r="N6">
        <f>SUMIFS(C$4:C6,D$4:D6,D6,E$4:E6,E6)</f>
        <v/>
      </c>
      <c r="P6" s="4" t="inlineStr">
        <is>
          <t>[Person_3] [Person_4]</t>
        </is>
      </c>
      <c r="Q6" s="2" t="n">
        <v>319000</v>
      </c>
      <c r="S6" s="1" t="inlineStr">
        <is>
          <t>Burgundy</t>
        </is>
      </c>
      <c r="T6" s="1" t="inlineStr">
        <is>
          <t>Lazada</t>
        </is>
      </c>
      <c r="V6" t="inlineStr">
        <is>
          <t>[Person_5] Pack 20L Backpack</t>
        </is>
      </c>
      <c r="W6" t="inlineStr">
        <is>
          <t>Black</t>
        </is>
      </c>
      <c r="X6" t="n">
        <v>1</v>
      </c>
      <c r="Y6" s="26" t="n">
        <v>291816.6666666667</v>
      </c>
      <c r="Z6" t="n">
        <v>1</v>
      </c>
      <c r="AA6" s="26" t="n">
        <v>291816.6666666667</v>
      </c>
    </row>
    <row r="7">
      <c r="A7" s="12" t="n">
        <v>45111</v>
      </c>
      <c r="B7" s="13" t="inlineStr">
        <is>
          <t>Tokopedia</t>
        </is>
      </c>
      <c r="C7" s="13" t="n">
        <v>1</v>
      </c>
      <c r="D7" s="4" t="inlineStr">
        <is>
          <t>[Person_2] Backpack 20L</t>
        </is>
      </c>
      <c r="E7" s="13" t="inlineStr">
        <is>
          <t>Black</t>
        </is>
      </c>
      <c r="F7" s="15" t="n">
        <v>291850</v>
      </c>
      <c r="G7" s="15">
        <f>IF(Purchase!$E7="-","-",F7/C7)</f>
        <v/>
      </c>
      <c r="H7" s="15">
        <f>IFERROR(VLOOKUP(D7,$P$4:$Q$23,2,FALSE),"-")</f>
        <v/>
      </c>
      <c r="I7" s="2">
        <f>IF(E7="-","-",(G7+50000)/0.95)</f>
        <v/>
      </c>
      <c r="J7" s="2">
        <f>IF(E7="-","-",I7-G7-(5%*I7))</f>
        <v/>
      </c>
      <c r="K7" s="17">
        <f>IFERROR(J7/G7,"-")</f>
        <v/>
      </c>
      <c r="L7" s="45">
        <f>IF(E7="-","-",IF(COUNTIFS(Sales!$D$4:$D$60,Purchase!D7,Sales!$E$4:$E$60,Purchase!E7,Sales!$F$4:$F$60,Purchase!A7,Sales!$G$4:$G$60,Purchase!B7)=C7,"sold",C7-COUNTIFS(Sales!$D$4:$D$60,Purchase!D7,Sales!$E$4:$E$60,Purchase!E7,Sales!$F$4:$F$60,Purchase!A7,Sales!$G$4:$G$60,Purchase!B7)))</f>
        <v/>
      </c>
      <c r="M7" s="2">
        <f>IF(Purchase!$E7="-","-",IF(OR(Purchase!$L7="sold",Purchase!$L7="-"),"-",Purchase!$L7*Purchase!$G7))</f>
        <v/>
      </c>
      <c r="N7">
        <f>SUMIFS(C$4:C7,D$4:D7,D7,E$4:E7,E7)</f>
        <v/>
      </c>
      <c r="P7" s="4" t="inlineStr">
        <is>
          <t>[Person_6] 15 Laptop Backpack</t>
        </is>
      </c>
      <c r="Q7" s="2" t="n">
        <v>369000</v>
      </c>
      <c r="S7" s="1" t="inlineStr">
        <is>
          <t>Olive</t>
        </is>
      </c>
      <c r="W7" t="inlineStr">
        <is>
          <t>Green</t>
        </is>
      </c>
      <c r="X7" t="n">
        <v>2</v>
      </c>
      <c r="Y7" s="26" t="n">
        <v>577793</v>
      </c>
      <c r="Z7" t="n">
        <v>0</v>
      </c>
      <c r="AA7" s="26" t="n">
        <v>0</v>
      </c>
    </row>
    <row r="8">
      <c r="A8" s="12" t="n">
        <v>45114</v>
      </c>
      <c r="B8" s="13" t="inlineStr">
        <is>
          <t>Lazada</t>
        </is>
      </c>
      <c r="C8" s="13" t="n">
        <v>8</v>
      </c>
      <c r="D8" s="14" t="inlineStr">
        <is>
          <t>Eiger Meridian 30L Laptop Backpack</t>
        </is>
      </c>
      <c r="E8" s="13" t="inlineStr">
        <is>
          <t>Black</t>
        </is>
      </c>
      <c r="F8" s="15" t="n">
        <v>3469382.045509301</v>
      </c>
      <c r="G8" s="15">
        <f>IF(Purchase!$E8="-","-",F8/C8)</f>
        <v/>
      </c>
      <c r="H8" s="15">
        <f>IFERROR(VLOOKUP(D8,$P$4:$Q$23,2,FALSE),"-")</f>
        <v/>
      </c>
      <c r="I8" s="2">
        <f>IF(E8="-","-",(G8+50000)/0.95)</f>
        <v/>
      </c>
      <c r="J8" s="2">
        <f>IF(E8="-","-",I8-G8-(5%*I8))</f>
        <v/>
      </c>
      <c r="K8" s="17">
        <f>IFERROR(J8/G8,"-")</f>
        <v/>
      </c>
      <c r="L8" s="45">
        <f>IF(E8="-","-",IF(COUNTIFS(Sales!$D$4:$D$60,Purchase!D8,Sales!$E$4:$E$60,Purchase!E8,Sales!$F$4:$F$60,Purchase!A8,Sales!$G$4:$G$60,Purchase!B8)=C8,"sold",C8-COUNTIFS(Sales!$D$4:$D$60,Purchase!D8,Sales!$E$4:$E$60,Purchase!E8,Sales!$F$4:$F$60,Purchase!A8,Sales!$G$4:$G$60,Purchase!B8)))</f>
        <v/>
      </c>
      <c r="M8" s="2">
        <f>IF(Purchase!$E8="-","-",IF(OR(Purchase!$L8="sold",Purchase!$L8="-"),"-",Purchase!$L8*Purchase!$G8))</f>
        <v/>
      </c>
      <c r="N8">
        <f>SUMIFS(C$4:C8,D$4:D8,D8,E$4:E8,E8)</f>
        <v/>
      </c>
      <c r="P8" s="4" t="inlineStr">
        <is>
          <t>[Person_7] 10 1.0 Backpack</t>
        </is>
      </c>
      <c r="Q8" s="2" t="n">
        <v>129000</v>
      </c>
      <c r="S8" s="1" t="inlineStr">
        <is>
          <t>Navy</t>
        </is>
      </c>
      <c r="W8" t="inlineStr">
        <is>
          <t>Navy</t>
        </is>
      </c>
      <c r="X8" t="n">
        <v>2</v>
      </c>
      <c r="Y8" s="26" t="n">
        <v>542372.0030408683</v>
      </c>
      <c r="Z8" t="n">
        <v>1</v>
      </c>
      <c r="AA8" s="26" t="n">
        <v>271186.0015204342</v>
      </c>
    </row>
    <row r="9">
      <c r="A9" s="12" t="n">
        <v>45114</v>
      </c>
      <c r="B9" s="13" t="inlineStr">
        <is>
          <t>Lazada</t>
        </is>
      </c>
      <c r="C9" s="13" t="n">
        <v>1</v>
      </c>
      <c r="D9" s="14" t="inlineStr">
        <is>
          <t>Eiger Starter Daypack 16L</t>
        </is>
      </c>
      <c r="E9" s="13" t="inlineStr">
        <is>
          <t>Olive</t>
        </is>
      </c>
      <c r="F9" s="15" t="n">
        <v>227439.5677059111</v>
      </c>
      <c r="G9" s="15">
        <f>IF(Purchase!$E9="-","-",F9/C9)</f>
        <v/>
      </c>
      <c r="H9" s="15">
        <f>IFERROR(VLOOKUP(D9,$P$4:$Q$23,2,FALSE),"-")</f>
        <v/>
      </c>
      <c r="I9" s="2">
        <f>IF(E9="-","-",(G9+50000)/0.95)</f>
        <v/>
      </c>
      <c r="J9" s="2">
        <f>IF(E9="-","-",I9-G9-(5%*I9))</f>
        <v/>
      </c>
      <c r="K9" s="17">
        <f>IFERROR(J9/G9,"-")</f>
        <v/>
      </c>
      <c r="L9" s="45">
        <f>IF(E9="-","-",IF(COUNTIFS(Sales!$D$4:$D$60,Purchase!D9,Sales!$E$4:$E$60,Purchase!E9,Sales!$F$4:$F$60,Purchase!A9,Sales!$G$4:$G$60,Purchase!B9)=C9,"sold",C9-COUNTIFS(Sales!$D$4:$D$60,Purchase!D9,Sales!$E$4:$E$60,Purchase!E9,Sales!$F$4:$F$60,Purchase!A9,Sales!$G$4:$G$60,Purchase!B9)))</f>
        <v/>
      </c>
      <c r="M9" s="2">
        <f>IF(Purchase!$E9="-","-",IF(OR(Purchase!$L9="sold",Purchase!$L9="-"),"-",Purchase!$L9*Purchase!$G9))</f>
        <v/>
      </c>
      <c r="N9">
        <f>SUMIFS(C$4:C9,D$4:D9,D9,E$4:E9,E9)</f>
        <v/>
      </c>
      <c r="P9" s="4" t="inlineStr">
        <is>
          <t>Eiger Versapack Waist Pack</t>
        </is>
      </c>
      <c r="Q9" s="2" t="n">
        <v>279000</v>
      </c>
      <c r="S9" s="1" t="inlineStr">
        <is>
          <t>[Person_8]</t>
        </is>
      </c>
      <c r="V9" t="inlineStr">
        <is>
          <t>[Person_5] Pack 20L Backpack Total</t>
        </is>
      </c>
      <c r="X9" t="n">
        <v>5</v>
      </c>
      <c r="Y9" s="26" t="n">
        <v>1411981.669707535</v>
      </c>
      <c r="Z9" t="n">
        <v>2</v>
      </c>
      <c r="AA9" s="26" t="n">
        <v>563002.6681871009</v>
      </c>
    </row>
    <row r="10">
      <c r="A10" s="12" t="n">
        <v>45114</v>
      </c>
      <c r="B10" s="13" t="inlineStr">
        <is>
          <t>Lazada</t>
        </is>
      </c>
      <c r="C10" s="13" t="n">
        <v>2</v>
      </c>
      <c r="D10" s="14" t="inlineStr">
        <is>
          <t>[Person_6] 15 Laptop Backpack</t>
        </is>
      </c>
      <c r="E10" s="13" t="inlineStr">
        <is>
          <t>Navy</t>
        </is>
      </c>
      <c r="F10" s="15" t="n">
        <v>467378.1165016859</v>
      </c>
      <c r="G10" s="15">
        <f>IF(Purchase!$E10="-","-",F10/C10)</f>
        <v/>
      </c>
      <c r="H10" s="15">
        <f>IFERROR(VLOOKUP(D10,$P$4:$Q$23,2,FALSE),"-")</f>
        <v/>
      </c>
      <c r="I10" s="2">
        <f>IF(E10="-","-",(G10+50000)/0.95)</f>
        <v/>
      </c>
      <c r="J10" s="2">
        <f>IF(E10="-","-",I10-G10-(5%*I10))</f>
        <v/>
      </c>
      <c r="K10" s="17">
        <f>IFERROR(J10/G10,"-")</f>
        <v/>
      </c>
      <c r="L10" s="45">
        <f>IF(E10="-","-",IF(COUNTIFS(Sales!$D$4:$D$60,Purchase!D10,Sales!$E$4:$E$60,Purchase!E10,Sales!$F$4:$F$60,Purchase!A10,Sales!$G$4:$G$60,Purchase!B10)=C10,"sold",C10-COUNTIFS(Sales!$D$4:$D$60,Purchase!D10,Sales!$E$4:$E$60,Purchase!E10,Sales!$F$4:$F$60,Purchase!A10,Sales!$G$4:$G$60,Purchase!B10)))</f>
        <v/>
      </c>
      <c r="M10" s="2">
        <f>IF(Purchase!$E10="-","-",IF(OR(Purchase!$L10="sold",Purchase!$L10="-"),"-",Purchase!$L10*Purchase!$G10))</f>
        <v/>
      </c>
      <c r="N10">
        <f>SUMIFS(C$4:C10,D$4:D10,D10,E$4:E10,E10)</f>
        <v/>
      </c>
      <c r="P10" s="4" t="inlineStr">
        <is>
          <t>[Person_9] 20L Woman Backpack</t>
        </is>
      </c>
      <c r="Q10" s="2" t="n">
        <v>529000</v>
      </c>
      <c r="S10" s="1" t="inlineStr">
        <is>
          <t>Khaki</t>
        </is>
      </c>
      <c r="V10" t="inlineStr">
        <is>
          <t>[Person_6] 15 Laptop Backpack</t>
        </is>
      </c>
      <c r="W10" t="inlineStr">
        <is>
          <t>Navy</t>
        </is>
      </c>
      <c r="X10" t="n">
        <v>2</v>
      </c>
      <c r="Y10" s="26" t="n">
        <v>467378.1165016859</v>
      </c>
      <c r="Z10" t="n">
        <v>0</v>
      </c>
      <c r="AA10" s="26" t="n">
        <v>0</v>
      </c>
    </row>
    <row r="11">
      <c r="A11" s="12" t="n">
        <v>45114</v>
      </c>
      <c r="B11" s="13" t="inlineStr">
        <is>
          <t>Lazada</t>
        </is>
      </c>
      <c r="C11" s="13" t="n">
        <v>2</v>
      </c>
      <c r="D11" s="14" t="inlineStr">
        <is>
          <t>[Person_2] Backpack 20L</t>
        </is>
      </c>
      <c r="E11" s="13" t="inlineStr">
        <is>
          <t>Navy</t>
        </is>
      </c>
      <c r="F11" s="15" t="n">
        <v>567369.9652205957</v>
      </c>
      <c r="G11" s="15">
        <f>IF(Purchase!$E11="-","-",F11/C11)</f>
        <v/>
      </c>
      <c r="H11" s="15">
        <f>IFERROR(VLOOKUP(D11,$P$4:$Q$23,2,FALSE),"-")</f>
        <v/>
      </c>
      <c r="I11" s="2">
        <f>IF(E11="-","-",(G11+50000)/0.95)</f>
        <v/>
      </c>
      <c r="J11" s="2">
        <f>IF(E11="-","-",I11-G11-(5%*I11))</f>
        <v/>
      </c>
      <c r="K11" s="17">
        <f>IFERROR(J11/G11,"-")</f>
        <v/>
      </c>
      <c r="L11" s="45">
        <f>IF(E11="-","-",IF(COUNTIFS(Sales!$D$4:$D$60,Purchase!D11,Sales!$E$4:$E$60,Purchase!E11,Sales!$F$4:$F$60,Purchase!A11,Sales!$G$4:$G$60,Purchase!B11)=C11,"sold",C11-COUNTIFS(Sales!$D$4:$D$60,Purchase!D11,Sales!$E$4:$E$60,Purchase!E11,Sales!$F$4:$F$60,Purchase!A11,Sales!$G$4:$G$60,Purchase!B11)))</f>
        <v/>
      </c>
      <c r="M11" s="2">
        <f>IF(Purchase!$E11="-","-",IF(OR(Purchase!$L11="sold",Purchase!$L11="-"),"-",Purchase!$L11*Purchase!$G11))</f>
        <v/>
      </c>
      <c r="N11">
        <f>SUMIFS(C$4:C11,D$4:D11,D11,E$4:E11,E11)</f>
        <v/>
      </c>
      <c r="P11" s="10" t="inlineStr">
        <is>
          <t>[Person_10] 20L Laptop Backpack</t>
        </is>
      </c>
      <c r="Q11" s="2" t="n">
        <v>629000</v>
      </c>
      <c r="V11" t="inlineStr">
        <is>
          <t>[Person_6] 15 Laptop Backpack Total</t>
        </is>
      </c>
      <c r="X11" t="n">
        <v>2</v>
      </c>
      <c r="Y11" s="26" t="n">
        <v>467378.1165016859</v>
      </c>
      <c r="Z11" t="n">
        <v>0</v>
      </c>
      <c r="AA11" s="26" t="n">
        <v>0</v>
      </c>
    </row>
    <row r="12">
      <c r="A12" s="12" t="n">
        <v>45114</v>
      </c>
      <c r="B12" s="13" t="inlineStr">
        <is>
          <t>Lazada</t>
        </is>
      </c>
      <c r="C12" s="13" t="n">
        <v>6</v>
      </c>
      <c r="D12" s="14" t="inlineStr">
        <is>
          <t>[Person_2] Backpack 20L</t>
        </is>
      </c>
      <c r="E12" s="13" t="inlineStr">
        <is>
          <t>Black</t>
        </is>
      </c>
      <c r="F12" s="15" t="n">
        <v>1702109.895661787</v>
      </c>
      <c r="G12" s="15">
        <f>IF(Purchase!$E12="-","-",F12/C12)</f>
        <v/>
      </c>
      <c r="H12" s="15">
        <f>IFERROR(VLOOKUP(D12,$P$4:$Q$23,2,FALSE),"-")</f>
        <v/>
      </c>
      <c r="I12" s="2">
        <f>IF(E12="-","-",(G12+50000)/0.95)</f>
        <v/>
      </c>
      <c r="J12" s="2">
        <f>IF(E12="-","-",I12-G12-(5%*I12))</f>
        <v/>
      </c>
      <c r="K12" s="17">
        <f>IFERROR(J12/G12,"-")</f>
        <v/>
      </c>
      <c r="L12" s="45">
        <f>IF(E12="-","-",IF(COUNTIFS(Sales!$D$4:$D$60,Purchase!D12,Sales!$E$4:$E$60,Purchase!E12,Sales!$F$4:$F$60,Purchase!A12,Sales!$G$4:$G$60,Purchase!B12)=C12,"sold",C12-COUNTIFS(Sales!$D$4:$D$60,Purchase!D12,Sales!$E$4:$E$60,Purchase!E12,Sales!$F$4:$F$60,Purchase!A12,Sales!$G$4:$G$60,Purchase!B12)))</f>
        <v/>
      </c>
      <c r="M12" s="2">
        <f>IF(Purchase!$E12="-","-",IF(OR(Purchase!$L12="sold",Purchase!$L12="-"),"-",Purchase!$L12*Purchase!$G12))</f>
        <v/>
      </c>
      <c r="N12">
        <f>SUMIFS(C$4:C12,D$4:D12,D12,E$4:E12,E12)</f>
        <v/>
      </c>
      <c r="P12" s="14" t="inlineStr">
        <is>
          <t>Eiger Passage 2.0 15L Laptop Daypack</t>
        </is>
      </c>
      <c r="Q12" s="2" t="n">
        <v>449000</v>
      </c>
      <c r="V12" t="inlineStr">
        <is>
          <t>[Person_11] 25L</t>
        </is>
      </c>
      <c r="W12" t="inlineStr">
        <is>
          <t>Black</t>
        </is>
      </c>
      <c r="X12" t="n">
        <v>13</v>
      </c>
      <c r="Y12" s="26" t="n">
        <v>5104371</v>
      </c>
      <c r="Z12" t="n">
        <v>12</v>
      </c>
      <c r="AA12" s="26" t="n">
        <v>4703563.9</v>
      </c>
    </row>
    <row r="13">
      <c r="A13" s="12" t="n">
        <v>45114</v>
      </c>
      <c r="B13" s="13" t="inlineStr">
        <is>
          <t>Lazada</t>
        </is>
      </c>
      <c r="C13" s="13" t="n">
        <v>2</v>
      </c>
      <c r="D13" s="14" t="inlineStr">
        <is>
          <t>[Person_2] Backpack 20L</t>
        </is>
      </c>
      <c r="E13" s="13" t="inlineStr">
        <is>
          <t>Khaki</t>
        </is>
      </c>
      <c r="F13" s="15" t="n">
        <v>596907.0310592738</v>
      </c>
      <c r="G13" s="15">
        <f>IF(Purchase!$E13="-","-",F13/C13)</f>
        <v/>
      </c>
      <c r="H13" s="15">
        <f>IFERROR(VLOOKUP(D13,$P$4:$Q$23,2,FALSE),"-")</f>
        <v/>
      </c>
      <c r="I13" s="2">
        <f>IF(E13="-","-",(G13+50000)/0.95)</f>
        <v/>
      </c>
      <c r="J13" s="2">
        <f>IF(E13="-","-",I13-G13-(5%*I13))</f>
        <v/>
      </c>
      <c r="K13" s="17">
        <f>IFERROR(J13/G13,"-")</f>
        <v/>
      </c>
      <c r="L13" s="45">
        <f>IF(E13="-","-",IF(COUNTIFS(Sales!$D$4:$D$60,Purchase!D13,Sales!$E$4:$E$60,Purchase!E13,Sales!$F$4:$F$60,Purchase!A13,Sales!$G$4:$G$60,Purchase!B13)=C13,"sold",C13-COUNTIFS(Sales!$D$4:$D$60,Purchase!D13,Sales!$E$4:$E$60,Purchase!E13,Sales!$F$4:$F$60,Purchase!A13,Sales!$G$4:$G$60,Purchase!B13)))</f>
        <v/>
      </c>
      <c r="M13" s="2">
        <f>IF(Purchase!$E13="-","-",IF(OR(Purchase!$L13="sold",Purchase!$L13="-"),"-",Purchase!$L13*Purchase!$G13))</f>
        <v/>
      </c>
      <c r="N13">
        <f>SUMIFS(C$4:C13,D$4:D13,D13,E$4:E13,E13)</f>
        <v/>
      </c>
      <c r="P13" s="4" t="inlineStr">
        <is>
          <t>Eiger Forlough 20 Laptop Backpack</t>
        </is>
      </c>
      <c r="Q13" s="2" t="n">
        <v>519000</v>
      </c>
      <c r="W13" t="inlineStr">
        <is>
          <t>Khaki</t>
        </is>
      </c>
      <c r="X13" t="n">
        <v>6</v>
      </c>
      <c r="Y13" s="26" t="n">
        <v>2435680</v>
      </c>
      <c r="Z13" t="n">
        <v>5</v>
      </c>
      <c r="AA13" s="26" t="n">
        <v>2005387.5</v>
      </c>
    </row>
    <row r="14">
      <c r="A14" s="12" t="n">
        <v>45114</v>
      </c>
      <c r="B14" s="13" t="inlineStr">
        <is>
          <t>Lazada</t>
        </is>
      </c>
      <c r="C14" s="13" t="n">
        <v>2</v>
      </c>
      <c r="D14" s="14" t="inlineStr">
        <is>
          <t>[Person_5] Pack 20L Backpack</t>
        </is>
      </c>
      <c r="E14" s="13" t="inlineStr">
        <is>
          <t>Navy</t>
        </is>
      </c>
      <c r="F14" s="15" t="n">
        <v>542372.0030408683</v>
      </c>
      <c r="G14" s="15">
        <f>IF(Purchase!$E14="-","-",F14/C14)</f>
        <v/>
      </c>
      <c r="H14" s="15">
        <f>IFERROR(VLOOKUP(D14,$P$4:$Q$23,2,FALSE),"-")</f>
        <v/>
      </c>
      <c r="I14" s="2">
        <f>IF(E14="-","-",(G14+50000)/0.95)</f>
        <v/>
      </c>
      <c r="J14" s="2">
        <f>IF(E14="-","-",I14-G14-(5%*I14))</f>
        <v/>
      </c>
      <c r="K14" s="17">
        <f>IFERROR(J14/G14,"-")</f>
        <v/>
      </c>
      <c r="L14" s="45">
        <f>IF(E14="-","-",IF(COUNTIFS(Sales!$D$4:$D$60,Purchase!D14,Sales!$E$4:$E$60,Purchase!E14,Sales!$F$4:$F$60,Purchase!A14,Sales!$G$4:$G$60,Purchase!B14)=C14,"sold",C14-COUNTIFS(Sales!$D$4:$D$60,Purchase!D14,Sales!$E$4:$E$60,Purchase!E14,Sales!$F$4:$F$60,Purchase!A14,Sales!$G$4:$G$60,Purchase!B14)))</f>
        <v/>
      </c>
      <c r="M14" s="2">
        <f>IF(Purchase!$E14="-","-",IF(OR(Purchase!$L14="sold",Purchase!$L14="-"),"-",Purchase!$L14*Purchase!$G14))</f>
        <v/>
      </c>
      <c r="N14">
        <f>SUMIFS(C$4:C14,D$4:D14,D14,E$4:E14,E14)</f>
        <v/>
      </c>
      <c r="P14" s="4" t="inlineStr">
        <is>
          <t>Eiger Reveal 18 Laptop Backpack</t>
        </is>
      </c>
      <c r="Q14" s="2" t="n">
        <v>439000</v>
      </c>
      <c r="W14" t="inlineStr">
        <is>
          <t>Navy</t>
        </is>
      </c>
      <c r="X14" t="n">
        <v>3</v>
      </c>
      <c r="Y14" s="26" t="n">
        <v>1058720</v>
      </c>
      <c r="Z14" t="n">
        <v>3</v>
      </c>
      <c r="AA14" s="26" t="n">
        <v>1058720</v>
      </c>
    </row>
    <row r="15">
      <c r="A15" s="12" t="n">
        <v>45114</v>
      </c>
      <c r="B15" s="13" t="inlineStr">
        <is>
          <t>Lazada</t>
        </is>
      </c>
      <c r="C15" s="13" t="n">
        <v>2</v>
      </c>
      <c r="D15" s="14" t="inlineStr">
        <is>
          <t>[Person_12]</t>
        </is>
      </c>
      <c r="E15" s="13" t="inlineStr">
        <is>
          <t>Navy</t>
        </is>
      </c>
      <c r="F15" s="15" t="n">
        <v>492376.0786814133</v>
      </c>
      <c r="G15" s="15">
        <f>IF(Purchase!$E15="-","-",F15/C15)</f>
        <v/>
      </c>
      <c r="H15" s="15">
        <f>IFERROR(VLOOKUP(D15,$P$4:$Q$23,2,FALSE),"-")</f>
        <v/>
      </c>
      <c r="I15" s="2">
        <f>IF(E15="-","-",(G15+50000)/0.95)</f>
        <v/>
      </c>
      <c r="J15" s="2">
        <f>IF(E15="-","-",I15-G15-(5%*I15))</f>
        <v/>
      </c>
      <c r="K15" s="17">
        <f>IFERROR(J15/G15,"-")</f>
        <v/>
      </c>
      <c r="L15" s="45">
        <f>IF(E15="-","-",IF(COUNTIFS(Sales!$D$4:$D$60,Purchase!D15,Sales!$E$4:$E$60,Purchase!E15,Sales!$F$4:$F$60,Purchase!A15,Sales!$G$4:$G$60,Purchase!B15)=C15,"sold",C15-COUNTIFS(Sales!$D$4:$D$60,Purchase!D15,Sales!$E$4:$E$60,Purchase!E15,Sales!$F$4:$F$60,Purchase!A15,Sales!$G$4:$G$60,Purchase!B15)))</f>
        <v/>
      </c>
      <c r="M15" s="2">
        <f>IF(Purchase!$E15="-","-",IF(OR(Purchase!$L15="sold",Purchase!$L15="-"),"-",Purchase!$L15*Purchase!$G15))</f>
        <v/>
      </c>
      <c r="N15">
        <f>SUMIFS(C$4:C15,D$4:D15,D15,E$4:E15,E15)</f>
        <v/>
      </c>
      <c r="P15" t="inlineStr">
        <is>
          <t>[Person_11] 25L</t>
        </is>
      </c>
      <c r="Q15" s="2" t="n">
        <v>579000</v>
      </c>
      <c r="V15" t="inlineStr">
        <is>
          <t>[Person_11] 25L Total</t>
        </is>
      </c>
      <c r="X15" t="n">
        <v>22</v>
      </c>
      <c r="Y15" s="26" t="n">
        <v>8598771</v>
      </c>
      <c r="Z15" t="n">
        <v>20</v>
      </c>
      <c r="AA15" s="26" t="n">
        <v>7767671.4</v>
      </c>
    </row>
    <row r="16">
      <c r="A16" s="12" t="n">
        <v>45114</v>
      </c>
      <c r="B16" s="13" t="inlineStr">
        <is>
          <t>Lazada</t>
        </is>
      </c>
      <c r="C16" s="13" t="n">
        <v>6</v>
      </c>
      <c r="D16" s="14" t="inlineStr">
        <is>
          <t>[Person_13] 3.0 Laptop 18L Backpack</t>
        </is>
      </c>
      <c r="E16" s="13" t="inlineStr">
        <is>
          <t>Black</t>
        </is>
      </c>
      <c r="F16" s="15" t="n">
        <v>1927091.555279335</v>
      </c>
      <c r="G16" s="15">
        <f>IF(Purchase!$E16="-","-",F16/C16)</f>
        <v/>
      </c>
      <c r="H16" s="15">
        <f>IFERROR(VLOOKUP(D16,$P$4:$Q$23,2,FALSE),"-")</f>
        <v/>
      </c>
      <c r="I16" s="2">
        <f>IF(E16="-","-",(G16+50000)/0.95)</f>
        <v/>
      </c>
      <c r="J16" s="2">
        <f>IF(E16="-","-",I16-G16-(5%*I16))</f>
        <v/>
      </c>
      <c r="K16" s="17">
        <f>IFERROR(J16/G16,"-")</f>
        <v/>
      </c>
      <c r="L16" s="45">
        <f>IF(E16="-","-",IF(COUNTIFS(Sales!$D$4:$D$60,Purchase!D16,Sales!$E$4:$E$60,Purchase!E16,Sales!$F$4:$F$60,Purchase!A16,Sales!$G$4:$G$60,Purchase!B16)=C16,"sold",C16-COUNTIFS(Sales!$D$4:$D$60,Purchase!D16,Sales!$E$4:$E$60,Purchase!E16,Sales!$F$4:$F$60,Purchase!A16,Sales!$G$4:$G$60,Purchase!B16)))</f>
        <v/>
      </c>
      <c r="M16" s="2">
        <f>IF(Purchase!$E16="-","-",IF(OR(Purchase!$L16="sold",Purchase!$L16="-"),"-",Purchase!$L16*Purchase!$G16))</f>
        <v/>
      </c>
      <c r="N16">
        <f>SUMIFS(C$4:C16,D$4:D16,D16,E$4:E16,E16)</f>
        <v/>
      </c>
      <c r="P16" s="4" t="inlineStr">
        <is>
          <t>[Person_14]</t>
        </is>
      </c>
      <c r="Q16" s="2" t="n">
        <v>239000</v>
      </c>
      <c r="V16" t="inlineStr">
        <is>
          <t>[Person_13] 3.0 Laptop 18L Backpack</t>
        </is>
      </c>
      <c r="W16" t="inlineStr">
        <is>
          <t>Black</t>
        </is>
      </c>
      <c r="X16" t="n">
        <v>6</v>
      </c>
      <c r="Y16" s="26" t="n">
        <v>1927091.555279335</v>
      </c>
      <c r="Z16" t="n">
        <v>5</v>
      </c>
      <c r="AA16" s="26" t="n">
        <v>1605909.629399446</v>
      </c>
    </row>
    <row r="17">
      <c r="A17" s="12" t="n">
        <v>45114</v>
      </c>
      <c r="B17" s="13" t="inlineStr">
        <is>
          <t>Lazada</t>
        </is>
      </c>
      <c r="C17" s="13" t="n">
        <v>4</v>
      </c>
      <c r="D17" s="14" t="inlineStr">
        <is>
          <t>[Person_15] 2.0 Laptop Backpack 20L</t>
        </is>
      </c>
      <c r="E17" s="13" t="inlineStr">
        <is>
          <t>Black</t>
        </is>
      </c>
      <c r="F17" s="15" t="n">
        <v>1259729.741339829</v>
      </c>
      <c r="G17" s="15">
        <f>IF(Purchase!$E17="-","-",F17/C17)</f>
        <v/>
      </c>
      <c r="H17" s="15">
        <f>IFERROR(VLOOKUP(D17,$P$4:$Q$23,2,FALSE),"-")</f>
        <v/>
      </c>
      <c r="I17" s="2">
        <f>IF(E17="-","-",(G17+50000)/0.95)</f>
        <v/>
      </c>
      <c r="J17" s="2">
        <f>IF(E17="-","-",I17-G17-(5%*I17))</f>
        <v/>
      </c>
      <c r="K17" s="17">
        <f>IFERROR(J17/G17,"-")</f>
        <v/>
      </c>
      <c r="L17" s="45">
        <f>IF(E17="-","-",IF(COUNTIFS(Sales!$D$4:$D$60,Purchase!D17,Sales!$E$4:$E$60,Purchase!E17,Sales!$F$4:$F$60,Purchase!A17,Sales!$G$4:$G$60,Purchase!B17)=C17,"sold",C17-COUNTIFS(Sales!$D$4:$D$60,Purchase!D17,Sales!$E$4:$E$60,Purchase!E17,Sales!$F$4:$F$60,Purchase!A17,Sales!$G$4:$G$60,Purchase!B17)))</f>
        <v/>
      </c>
      <c r="M17" s="2">
        <f>IF(Purchase!$E17="-","-",IF(OR(Purchase!$L17="sold",Purchase!$L17="-"),"-",Purchase!$L17*Purchase!$G17))</f>
        <v/>
      </c>
      <c r="N17">
        <f>SUMIFS(C$4:C17,D$4:D17,D17,E$4:E17,E17)</f>
        <v/>
      </c>
      <c r="P17" s="4" t="inlineStr">
        <is>
          <t>[Person_2] Backpack 20L</t>
        </is>
      </c>
      <c r="Q17" s="2" t="n">
        <v>449000</v>
      </c>
      <c r="W17" t="inlineStr">
        <is>
          <t>Olive</t>
        </is>
      </c>
      <c r="X17" t="n">
        <v>3</v>
      </c>
      <c r="Y17" s="26" t="n">
        <v>1077000</v>
      </c>
      <c r="Z17" t="n">
        <v>3</v>
      </c>
      <c r="AA17" s="26" t="n">
        <v>1077000</v>
      </c>
    </row>
    <row r="18">
      <c r="A18" s="12" t="n">
        <v>45114</v>
      </c>
      <c r="B18" s="13" t="inlineStr">
        <is>
          <t>Shopee</t>
        </is>
      </c>
      <c r="C18" s="13" t="n">
        <v>2</v>
      </c>
      <c r="D18" s="14" t="inlineStr">
        <is>
          <t>[Person_5] Pack 20L Backpack</t>
        </is>
      </c>
      <c r="E18" s="13" t="inlineStr">
        <is>
          <t>Green</t>
        </is>
      </c>
      <c r="F18" s="15">
        <f>(364650-(39014/2)-(98000/3)-(100000/3))+298650</f>
        <v/>
      </c>
      <c r="G18" s="15">
        <f>IF(Purchase!$E18="-","-",F18/C18)</f>
        <v/>
      </c>
      <c r="H18" s="15">
        <f>IFERROR(VLOOKUP(D18,$P$4:$Q$23,2,FALSE),"-")</f>
        <v/>
      </c>
      <c r="I18" s="2">
        <f>IF(E18="-","-",(G18+50000)/0.95)</f>
        <v/>
      </c>
      <c r="J18" s="2">
        <f>IF(E18="-","-",I18-G18-(5%*I18))</f>
        <v/>
      </c>
      <c r="K18" s="17">
        <f>IFERROR(J18/G18,"-")</f>
        <v/>
      </c>
      <c r="L18" s="45">
        <f>IF(E18="-","-",IF(COUNTIFS(Sales!$D$4:$D$60,Purchase!D18,Sales!$E$4:$E$60,Purchase!E18,Sales!$F$4:$F$60,Purchase!A18,Sales!$G$4:$G$60,Purchase!B18)=C18,"sold",C18-COUNTIFS(Sales!$D$4:$D$60,Purchase!D18,Sales!$E$4:$E$60,Purchase!E18,Sales!$F$4:$F$60,Purchase!A18,Sales!$G$4:$G$60,Purchase!B18)))</f>
        <v/>
      </c>
      <c r="M18" s="2">
        <f>IF(Purchase!$E18="-","-",IF(OR(Purchase!$L18="sold",Purchase!$L18="-"),"-",Purchase!$L18*Purchase!$G18))</f>
        <v/>
      </c>
      <c r="N18">
        <f>SUMIFS(C$4:C18,D$4:D18,D18,E$4:E18,E18)</f>
        <v/>
      </c>
      <c r="P18" s="4" t="inlineStr">
        <is>
          <t>[Person_15] 2.0 Laptop Backpack 20L</t>
        </is>
      </c>
      <c r="Q18" s="2" t="n">
        <v>499000</v>
      </c>
      <c r="V18" t="inlineStr">
        <is>
          <t>[Person_13] 3.0 Laptop 18L Backpack Total</t>
        </is>
      </c>
      <c r="X18" t="n">
        <v>9</v>
      </c>
      <c r="Y18" s="26" t="n">
        <v>3004091.555279335</v>
      </c>
      <c r="Z18" t="n">
        <v>8</v>
      </c>
      <c r="AA18" s="26" t="n">
        <v>2682909.629399446</v>
      </c>
    </row>
    <row r="19">
      <c r="A19" s="12" t="n">
        <v>45114</v>
      </c>
      <c r="B19" s="13" t="inlineStr">
        <is>
          <t>Shopee</t>
        </is>
      </c>
      <c r="C19" s="13" t="n">
        <v>1</v>
      </c>
      <c r="D19" s="46" t="inlineStr">
        <is>
          <t>[Person_16] Termina 2.0 Backpack</t>
        </is>
      </c>
      <c r="E19" s="13" t="inlineStr">
        <is>
          <t>Navy</t>
        </is>
      </c>
      <c r="F19" s="15">
        <f>415650-(39014/2)-(98000/3)-(100000/3)</f>
        <v/>
      </c>
      <c r="G19" s="15">
        <f>IF(Purchase!$E19="-","-",F19/C19)</f>
        <v/>
      </c>
      <c r="H19" s="15">
        <f>IFERROR(VLOOKUP(D19,$P$4:$Q$23,2,FALSE),"-")</f>
        <v/>
      </c>
      <c r="I19" s="2">
        <f>IF(E19="-","-",(G19+50000)/0.95)</f>
        <v/>
      </c>
      <c r="J19" s="2">
        <f>IF(E19="-","-",I19-G19-(5%*I19))</f>
        <v/>
      </c>
      <c r="K19" s="17">
        <f>IFERROR(J19/G19,"-")</f>
        <v/>
      </c>
      <c r="L19" s="45">
        <f>IF(E19="-","-",IF(COUNTIFS(Sales!$D$4:$D$60,Purchase!D19,Sales!$E$4:$E$60,Purchase!E19,Sales!$F$4:$F$60,Purchase!A19,Sales!$G$4:$G$60,Purchase!B19)=C19,"sold",C19-COUNTIFS(Sales!$D$4:$D$60,Purchase!D19,Sales!$E$4:$E$60,Purchase!E19,Sales!$F$4:$F$60,Purchase!A19,Sales!$G$4:$G$60,Purchase!B19)))</f>
        <v/>
      </c>
      <c r="M19" s="2">
        <f>IF(Purchase!$E19="-","-",IF(OR(Purchase!$L19="sold",Purchase!$L19="-"),"-",Purchase!$L19*Purchase!$G19))</f>
        <v/>
      </c>
      <c r="N19">
        <f>SUMIFS(C$4:C19,D$4:D19,D19,E$4:E19,E19)</f>
        <v/>
      </c>
      <c r="P19" s="14" t="inlineStr">
        <is>
          <t>[Person_12]</t>
        </is>
      </c>
      <c r="Q19" s="2" t="n">
        <v>389000</v>
      </c>
      <c r="V19" t="inlineStr">
        <is>
          <t>[Person_16] Termina 2.0 Backpack</t>
        </is>
      </c>
      <c r="W19" t="inlineStr">
        <is>
          <t>Black</t>
        </is>
      </c>
      <c r="X19" t="n">
        <v>4</v>
      </c>
      <c r="Y19" s="26" t="n">
        <v>1224650</v>
      </c>
      <c r="Z19" t="n">
        <v>2</v>
      </c>
      <c r="AA19" s="26" t="n">
        <v>623550</v>
      </c>
    </row>
    <row r="20">
      <c r="A20" s="12" t="n">
        <v>45115</v>
      </c>
      <c r="B20" s="13" t="inlineStr">
        <is>
          <t>Shopee</t>
        </is>
      </c>
      <c r="C20" s="13" t="n">
        <v>1</v>
      </c>
      <c r="D20" s="14" t="inlineStr">
        <is>
          <t>[Person_12]</t>
        </is>
      </c>
      <c r="E20" s="13" t="inlineStr">
        <is>
          <t>Olive</t>
        </is>
      </c>
      <c r="F20" s="15" t="n">
        <v>276550</v>
      </c>
      <c r="G20" s="15">
        <f>IF(Purchase!$E20="-","-",F20/C20)</f>
        <v/>
      </c>
      <c r="H20" s="15">
        <f>IFERROR(VLOOKUP(D20,$P$4:$Q$23,2,FALSE),"-")</f>
        <v/>
      </c>
      <c r="I20" s="2">
        <f>IF(E20="-","-",(G20+50000)/0.95)</f>
        <v/>
      </c>
      <c r="J20" s="2">
        <f>IF(E20="-","-",I20-G20-(5%*I20))</f>
        <v/>
      </c>
      <c r="K20" s="17">
        <f>IFERROR(J20/G20,"-")</f>
        <v/>
      </c>
      <c r="L20" s="45">
        <f>IF(E20="-","-",IF(COUNTIFS(Sales!$D$4:$D$60,Purchase!D20,Sales!$E$4:$E$60,Purchase!E20,Sales!$F$4:$F$60,Purchase!A20,Sales!$G$4:$G$60,Purchase!B20)=C20,"sold",C20-COUNTIFS(Sales!$D$4:$D$60,Purchase!D20,Sales!$E$4:$E$60,Purchase!E20,Sales!$F$4:$F$60,Purchase!A20,Sales!$G$4:$G$60,Purchase!B20)))</f>
        <v/>
      </c>
      <c r="M20" s="2">
        <f>IF(Purchase!$E20="-","-",IF(OR(Purchase!$L20="sold",Purchase!$L20="-"),"-",Purchase!$L20*Purchase!$G20))</f>
        <v/>
      </c>
      <c r="N20">
        <f>SUMIFS(C$4:C20,D$4:D20,D20,E$4:E20,E20)</f>
        <v/>
      </c>
      <c r="P20" t="inlineStr">
        <is>
          <t>[Person_13] 3.0 Laptop 18L Backpack</t>
        </is>
      </c>
      <c r="Q20" s="2" t="n">
        <v>509000</v>
      </c>
      <c r="W20" t="inlineStr">
        <is>
          <t>Navy</t>
        </is>
      </c>
      <c r="X20" t="n">
        <v>1</v>
      </c>
      <c r="Y20" s="26" t="n">
        <v>330143</v>
      </c>
      <c r="Z20" t="n">
        <v>1</v>
      </c>
      <c r="AA20" s="26" t="n">
        <v>330143</v>
      </c>
    </row>
    <row r="21">
      <c r="A21" s="12" t="n">
        <v>45119</v>
      </c>
      <c r="B21" s="13" t="inlineStr">
        <is>
          <t>Lazada</t>
        </is>
      </c>
      <c r="C21" s="13" t="n">
        <v>3</v>
      </c>
      <c r="D21" s="14" t="inlineStr">
        <is>
          <t>[Person_13] 3.0 Laptop 18L Backpack</t>
        </is>
      </c>
      <c r="E21" s="13" t="inlineStr">
        <is>
          <t>Olive</t>
        </is>
      </c>
      <c r="F21" s="15" t="n">
        <v>1077000</v>
      </c>
      <c r="G21" s="15">
        <f>IF(Purchase!$E21="-","-",F21/C21)</f>
        <v/>
      </c>
      <c r="H21" s="15">
        <f>IFERROR(VLOOKUP(D21,$P$4:$Q$23,2,FALSE),"-")</f>
        <v/>
      </c>
      <c r="I21" s="2">
        <f>IF(E21="-","-",(G21+50000)/0.95)</f>
        <v/>
      </c>
      <c r="J21" s="2">
        <f>IF(E21="-","-",I21-G21-(5%*I21))</f>
        <v/>
      </c>
      <c r="K21" s="17">
        <f>IFERROR(J21/G21,"-")</f>
        <v/>
      </c>
      <c r="L21" s="45">
        <f>IF(E21="-","-",IF(COUNTIFS(Sales!$D$4:$D$60,Purchase!D21,Sales!$E$4:$E$60,Purchase!E21,Sales!$F$4:$F$60,Purchase!A21,Sales!$G$4:$G$60,Purchase!B21)=C21,"sold",C21-COUNTIFS(Sales!$D$4:$D$60,Purchase!D21,Sales!$E$4:$E$60,Purchase!E21,Sales!$F$4:$F$60,Purchase!A21,Sales!$G$4:$G$60,Purchase!B21)))</f>
        <v/>
      </c>
      <c r="M21" s="2">
        <f>IF(Purchase!$E21="-","-",IF(OR(Purchase!$L21="sold",Purchase!$L21="-"),"-",Purchase!$L21*Purchase!$G21))</f>
        <v/>
      </c>
      <c r="N21">
        <f>SUMIFS(C$4:C21,D$4:D21,D21,E$4:E21,E21)</f>
        <v/>
      </c>
      <c r="P21" t="inlineStr">
        <is>
          <t>[Person_5] Pack 20L Backpack</t>
        </is>
      </c>
      <c r="Q21" s="2" t="n">
        <v>429000</v>
      </c>
      <c r="V21" t="inlineStr">
        <is>
          <t>[Person_16] Termina 2.0 Backpack Total</t>
        </is>
      </c>
      <c r="X21" t="n">
        <v>5</v>
      </c>
      <c r="Y21" s="26" t="n">
        <v>1554793</v>
      </c>
      <c r="Z21" t="n">
        <v>3</v>
      </c>
      <c r="AA21" s="26" t="n">
        <v>953693</v>
      </c>
    </row>
    <row r="22">
      <c r="A22" s="12" t="n">
        <v>45126</v>
      </c>
      <c r="B22" s="13" t="inlineStr">
        <is>
          <t>Shopee</t>
        </is>
      </c>
      <c r="C22" s="13" t="n">
        <v>1</v>
      </c>
      <c r="D22" s="14" t="inlineStr">
        <is>
          <t>Bubble wrap [Person_1]</t>
        </is>
      </c>
      <c r="E22" s="13" t="inlineStr">
        <is>
          <t>-</t>
        </is>
      </c>
      <c r="F22" s="15" t="n">
        <v>59375</v>
      </c>
      <c r="G22" s="15">
        <f>IF(Purchase!$E22="-","-",F22/C22)</f>
        <v/>
      </c>
      <c r="H22" s="15">
        <f>IFERROR(VLOOKUP(D22,$P$4:$Q$23,2,FALSE),"-")</f>
        <v/>
      </c>
      <c r="I22" s="2">
        <f>IF(E22="-","-",(G22+50000)/0.95)</f>
        <v/>
      </c>
      <c r="J22" s="2">
        <f>IF(E22="-","-",I22-G22-(5%*I22))</f>
        <v/>
      </c>
      <c r="K22" s="17">
        <f>IFERROR(J22/G22,"-")</f>
        <v/>
      </c>
      <c r="L22" s="45">
        <f>IF(E22="-","-",IF(COUNTIFS(Sales!$D$4:$D$60,Purchase!D22,Sales!$E$4:$E$60,Purchase!E22,Sales!$F$4:$F$60,Purchase!A22,Sales!$G$4:$G$60,Purchase!B22)=C22,"sold",C22-COUNTIFS(Sales!$D$4:$D$60,Purchase!D22,Sales!$E$4:$E$60,Purchase!E22,Sales!$F$4:$F$60,Purchase!A22,Sales!$G$4:$G$60,Purchase!B22)))</f>
        <v/>
      </c>
      <c r="M22" s="2">
        <f>IF(Purchase!$E22="-","-",IF(OR(Purchase!$L22="sold",Purchase!$L22="-"),"-",Purchase!$L22*Purchase!$G22))</f>
        <v/>
      </c>
      <c r="N22">
        <f>SUMIFS(C$4:C22,D$4:D22,D22,E$4:E22,E22)</f>
        <v/>
      </c>
      <c r="P22" s="10" t="inlineStr">
        <is>
          <t>[Person_16] Termina 2.0 Backpack</t>
        </is>
      </c>
      <c r="Q22" s="2" t="n">
        <v>489000</v>
      </c>
      <c r="V22" t="inlineStr">
        <is>
          <t>Eiger Forlough 20 Laptop Backpack</t>
        </is>
      </c>
      <c r="W22" t="inlineStr">
        <is>
          <t>Black</t>
        </is>
      </c>
      <c r="X22" t="n">
        <v>9</v>
      </c>
      <c r="Y22" s="26" t="n">
        <v>3120330.333333333</v>
      </c>
      <c r="Z22" t="n">
        <v>8</v>
      </c>
      <c r="AA22" s="26" t="n">
        <v>2774156.761904762</v>
      </c>
    </row>
    <row r="23">
      <c r="A23" s="12" t="n">
        <v>45136</v>
      </c>
      <c r="B23" s="13" t="inlineStr">
        <is>
          <t>Shopee</t>
        </is>
      </c>
      <c r="C23" s="13" t="n">
        <v>3</v>
      </c>
      <c r="D23" s="46" t="inlineStr">
        <is>
          <t>[Person_16] Termina 2.0 Backpack</t>
        </is>
      </c>
      <c r="E23" s="13" t="inlineStr">
        <is>
          <t>Black</t>
        </is>
      </c>
      <c r="F23" s="15">
        <f>889742+11908</f>
        <v/>
      </c>
      <c r="G23" s="15">
        <f>IF(Purchase!$E23="-","-",F23/C23)</f>
        <v/>
      </c>
      <c r="H23" s="15">
        <f>IFERROR(VLOOKUP(D23,$P$4:$Q$23,2,FALSE),"-")</f>
        <v/>
      </c>
      <c r="I23" s="2">
        <f>IF(E23="-","-",(G23+50000)/0.95)</f>
        <v/>
      </c>
      <c r="J23" s="2">
        <f>IF(E23="-","-",I23-G23-(5%*I23))</f>
        <v/>
      </c>
      <c r="K23" s="17">
        <f>IFERROR(J23/G23,"-")</f>
        <v/>
      </c>
      <c r="L23" s="45">
        <f>IF(E23="-","-",IF(COUNTIFS(Sales!$D$4:$D$60,Purchase!D23,Sales!$E$4:$E$60,Purchase!E23,Sales!$F$4:$F$60,Purchase!A23,Sales!$G$4:$G$60,Purchase!B23)=C23,"sold",C23-COUNTIFS(Sales!$D$4:$D$60,Purchase!D23,Sales!$E$4:$E$60,Purchase!E23,Sales!$F$4:$F$60,Purchase!A23,Sales!$G$4:$G$60,Purchase!B23)))</f>
        <v/>
      </c>
      <c r="M23" s="2">
        <f>IF(Purchase!$E23="-","-",IF(OR(Purchase!$L23="sold",Purchase!$L23="-"),"-",Purchase!$L23*Purchase!$G23))</f>
        <v/>
      </c>
      <c r="N23">
        <f>SUMIFS(C$4:C23,D$4:D23,D23,E$4:E23,E23)</f>
        <v/>
      </c>
      <c r="P23" t="inlineStr">
        <is>
          <t>Eiger Starter Daypack 21L</t>
        </is>
      </c>
      <c r="Q23" s="2" t="n">
        <v>439000</v>
      </c>
      <c r="W23" t="inlineStr">
        <is>
          <t>Maroon</t>
        </is>
      </c>
      <c r="X23" t="n">
        <v>1</v>
      </c>
      <c r="Y23" s="26" t="n">
        <v>348557.6666666667</v>
      </c>
      <c r="Z23" t="n">
        <v>1</v>
      </c>
      <c r="AA23" s="26" t="n">
        <v>348557.6666666667</v>
      </c>
    </row>
    <row r="24">
      <c r="A24" s="12" t="n">
        <v>45136</v>
      </c>
      <c r="B24" s="13" t="inlineStr">
        <is>
          <t>Shopee</t>
        </is>
      </c>
      <c r="C24" s="13" t="n">
        <v>1</v>
      </c>
      <c r="D24" s="46" t="inlineStr">
        <is>
          <t>Plastik packing</t>
        </is>
      </c>
      <c r="E24" s="13" t="inlineStr">
        <is>
          <t>-</t>
        </is>
      </c>
      <c r="F24" s="15">
        <f>38220+500</f>
        <v/>
      </c>
      <c r="G24" s="15">
        <f>IF(Purchase!$E24="-","-",F24/C24)</f>
        <v/>
      </c>
      <c r="H24" s="15">
        <f>IFERROR(VLOOKUP(D24,$P$4:$Q$23,2,FALSE),"-")</f>
        <v/>
      </c>
      <c r="I24" s="2">
        <f>IF(E24="-","-",(G24+50000)/0.95)</f>
        <v/>
      </c>
      <c r="J24" s="2">
        <f>IF(E24="-","-",I24-G24-(5%*I24))</f>
        <v/>
      </c>
      <c r="K24" s="17">
        <f>IFERROR(J24/G24,"-")</f>
        <v/>
      </c>
      <c r="L24" s="45">
        <f>IF(E24="-","-",IF(COUNTIFS(Sales!$D$4:$D$60,Purchase!D24,Sales!$E$4:$E$60,Purchase!E24,Sales!$F$4:$F$60,Purchase!A24,Sales!$G$4:$G$60,Purchase!B24)=C24,"sold",C24-COUNTIFS(Sales!$D$4:$D$60,Purchase!D24,Sales!$E$4:$E$60,Purchase!E24,Sales!$F$4:$F$60,Purchase!A24,Sales!$G$4:$G$60,Purchase!B24)))</f>
        <v/>
      </c>
      <c r="M24" s="2">
        <f>IF(Purchase!$E24="-","-",IF(OR(Purchase!$L24="sold",Purchase!$L24="-"),"-",Purchase!$L24*Purchase!$G24))</f>
        <v/>
      </c>
      <c r="N24">
        <f>SUMIFS(C$4:C24,D$4:D24,D24,E$4:E24,E24)</f>
        <v/>
      </c>
      <c r="P24" s="2" t="n"/>
      <c r="V24" t="inlineStr">
        <is>
          <t>Eiger Forlough 20 Laptop Backpack Total</t>
        </is>
      </c>
      <c r="X24" t="n">
        <v>10</v>
      </c>
      <c r="Y24" s="26" t="n">
        <v>3468888</v>
      </c>
      <c r="Z24" t="n">
        <v>9</v>
      </c>
      <c r="AA24" s="26" t="n">
        <v>3122714.428571429</v>
      </c>
    </row>
    <row r="25">
      <c r="A25" s="12" t="n">
        <v>45139</v>
      </c>
      <c r="B25" s="13" t="inlineStr">
        <is>
          <t>Lazada</t>
        </is>
      </c>
      <c r="C25" s="13" t="n">
        <v>3</v>
      </c>
      <c r="D25" s="46" t="inlineStr">
        <is>
          <t>[Person_2] Backpack 20L</t>
        </is>
      </c>
      <c r="E25" s="13" t="inlineStr">
        <is>
          <t>Black</t>
        </is>
      </c>
      <c r="F25" s="15" t="n">
        <v>933584</v>
      </c>
      <c r="G25" s="15">
        <f>IF(Purchase!$E25="-","-",F25/C25)</f>
        <v/>
      </c>
      <c r="H25" s="15">
        <f>IFERROR(VLOOKUP(D25,$P$4:$Q$23,2,FALSE),"-")</f>
        <v/>
      </c>
      <c r="I25" s="2">
        <f>IF(E25="-","-",(G25+50000)/0.95)</f>
        <v/>
      </c>
      <c r="J25" s="2">
        <f>IF(E25="-","-",I25-G25-(5%*I25))</f>
        <v/>
      </c>
      <c r="K25" s="17">
        <f>IFERROR(J25/G25,"-")</f>
        <v/>
      </c>
      <c r="L25" s="45">
        <f>IF(E25="-","-",IF(COUNTIFS(Sales!$D$4:$D$60,Purchase!D25,Sales!$E$4:$E$60,Purchase!E25,Sales!$F$4:$F$60,Purchase!A25,Sales!$G$4:$G$60,Purchase!B25)=C25,"sold",C25-COUNTIFS(Sales!$D$4:$D$60,Purchase!D25,Sales!$E$4:$E$60,Purchase!E25,Sales!$F$4:$F$60,Purchase!A25,Sales!$G$4:$G$60,Purchase!B25)))</f>
        <v/>
      </c>
      <c r="M25" s="2">
        <f>IF(Purchase!$E25="-","-",IF(OR(Purchase!$L25="sold",Purchase!$L25="-"),"-",Purchase!$L25*Purchase!$G25))</f>
        <v/>
      </c>
      <c r="N25">
        <f>SUMIFS(C$4:C25,D$4:D25,D25,E$4:E25,E25)</f>
        <v/>
      </c>
      <c r="V25" t="inlineStr">
        <is>
          <t>Eiger Meridian 30L Laptop Backpack</t>
        </is>
      </c>
      <c r="W25" t="inlineStr">
        <is>
          <t>Black</t>
        </is>
      </c>
      <c r="X25" t="n">
        <v>8</v>
      </c>
      <c r="Y25" s="26" t="n">
        <v>3469382.045509301</v>
      </c>
      <c r="Z25" t="n">
        <v>0</v>
      </c>
      <c r="AA25" s="26" t="n">
        <v>0</v>
      </c>
    </row>
    <row r="26">
      <c r="A26" s="12" t="n">
        <v>45146</v>
      </c>
      <c r="B26" s="13" t="inlineStr">
        <is>
          <t>Lazada</t>
        </is>
      </c>
      <c r="C26" s="13" t="n">
        <v>2</v>
      </c>
      <c r="D26" s="4" t="inlineStr">
        <is>
          <t>[Person_9] 20L Woman Backpack</t>
        </is>
      </c>
      <c r="E26" s="13" t="inlineStr">
        <is>
          <t>Burgundy</t>
        </is>
      </c>
      <c r="F26" s="15">
        <f>2*(1099885/3)</f>
        <v/>
      </c>
      <c r="G26" s="15">
        <f>IF(Purchase!$E26="-","-",F26/C26)</f>
        <v/>
      </c>
      <c r="H26" s="15">
        <f>IFERROR(VLOOKUP(D26,$P$4:$Q$23,2,FALSE),"-")</f>
        <v/>
      </c>
      <c r="I26" s="2">
        <f>IF(E26="-","-",(G26+50000)/0.95)</f>
        <v/>
      </c>
      <c r="J26" s="2">
        <f>IF(E26="-","-",I26-G26-(5%*I26))</f>
        <v/>
      </c>
      <c r="K26" s="17">
        <f>IFERROR(J26/G26,"-")</f>
        <v/>
      </c>
      <c r="L26" s="45">
        <f>IF(E26="-","-",IF(COUNTIFS(Sales!$D$4:$D$60,Purchase!D26,Sales!$E$4:$E$60,Purchase!E26,Sales!$F$4:$F$60,Purchase!A26,Sales!$G$4:$G$60,Purchase!B26)=C26,"sold",C26-COUNTIFS(Sales!$D$4:$D$60,Purchase!D26,Sales!$E$4:$E$60,Purchase!E26,Sales!$F$4:$F$60,Purchase!A26,Sales!$G$4:$G$60,Purchase!B26)))</f>
        <v/>
      </c>
      <c r="M26" s="2">
        <f>IF(Purchase!$E26="-","-",IF(OR(Purchase!$L26="sold",Purchase!$L26="-"),"-",Purchase!$L26*Purchase!$G26))</f>
        <v/>
      </c>
      <c r="N26">
        <f>SUMIFS(C$4:C26,D$4:D26,D26,E$4:E26,E26)</f>
        <v/>
      </c>
      <c r="W26" t="inlineStr">
        <is>
          <t>[Person_17]</t>
        </is>
      </c>
      <c r="X26" t="n">
        <v>3</v>
      </c>
      <c r="Y26" s="26" t="n">
        <v>1370298.092320783</v>
      </c>
      <c r="Z26" t="n">
        <v>0</v>
      </c>
      <c r="AA26" s="26" t="n">
        <v>0</v>
      </c>
    </row>
    <row r="27">
      <c r="A27" s="12" t="n">
        <v>45146</v>
      </c>
      <c r="B27" s="13" t="inlineStr">
        <is>
          <t>Lazada</t>
        </is>
      </c>
      <c r="C27" s="13" t="n">
        <v>1</v>
      </c>
      <c r="D27" s="4" t="inlineStr">
        <is>
          <t>[Person_9] 20L Woman Backpack</t>
        </is>
      </c>
      <c r="E27" s="13" t="inlineStr">
        <is>
          <t>[Person_8]</t>
        </is>
      </c>
      <c r="F27" s="15">
        <f>1099885/3</f>
        <v/>
      </c>
      <c r="G27" s="15">
        <f>IF(Purchase!$E27="-","-",F27/C27)</f>
        <v/>
      </c>
      <c r="H27" s="15">
        <f>IFERROR(VLOOKUP(D27,$P$4:$Q$23,2,FALSE),"-")</f>
        <v/>
      </c>
      <c r="I27" s="2">
        <f>IF(E27="-","-",(G27+50000)/0.95)</f>
        <v/>
      </c>
      <c r="J27" s="2">
        <f>IF(E27="-","-",I27-G27-(5%*I27))</f>
        <v/>
      </c>
      <c r="K27" s="17">
        <f>IFERROR(J27/G27,"-")</f>
        <v/>
      </c>
      <c r="L27" s="45">
        <f>IF(E27="-","-",IF(COUNTIFS(Sales!$D$4:$D$60,Purchase!D27,Sales!$E$4:$E$60,Purchase!E27,Sales!$F$4:$F$60,Purchase!A27,Sales!$G$4:$G$60,Purchase!B27)=C27,"sold",C27-COUNTIFS(Sales!$D$4:$D$60,Purchase!D27,Sales!$E$4:$E$60,Purchase!E27,Sales!$F$4:$F$60,Purchase!A27,Sales!$G$4:$G$60,Purchase!B27)))</f>
        <v/>
      </c>
      <c r="M27" s="2">
        <f>IF(Purchase!$E27="-","-",IF(OR(Purchase!$L27="sold",Purchase!$L27="-"),"-",Purchase!$L27*Purchase!$G27))</f>
        <v/>
      </c>
      <c r="N27">
        <f>SUMIFS(C$4:C27,D$4:D27,D27,E$4:E27,E27)</f>
        <v/>
      </c>
      <c r="V27" t="inlineStr">
        <is>
          <t>Eiger Meridian 30L Laptop Backpack Total</t>
        </is>
      </c>
      <c r="X27" t="n">
        <v>11</v>
      </c>
      <c r="Y27" s="26" t="n">
        <v>4839680.137830084</v>
      </c>
      <c r="Z27" t="n">
        <v>0</v>
      </c>
      <c r="AA27" s="26" t="n">
        <v>0</v>
      </c>
    </row>
    <row r="28">
      <c r="A28" s="12" t="n">
        <v>45146</v>
      </c>
      <c r="B28" s="13" t="inlineStr">
        <is>
          <t>Shopee</t>
        </is>
      </c>
      <c r="C28" s="13" t="n">
        <v>2</v>
      </c>
      <c r="D28" s="14" t="inlineStr">
        <is>
          <t>Eiger Meridian 30L Laptop Backpack</t>
        </is>
      </c>
      <c r="E28" s="13" t="inlineStr">
        <is>
          <t>[Person_17]</t>
        </is>
      </c>
      <c r="F28" s="15">
        <f>919000</f>
        <v/>
      </c>
      <c r="G28" s="15">
        <f>IF(Purchase!$E28="-","-",F28/C28)</f>
        <v/>
      </c>
      <c r="H28" s="15">
        <f>IFERROR(VLOOKUP(D28,$P$4:$Q$23,2,FALSE),"-")</f>
        <v/>
      </c>
      <c r="I28" s="2">
        <f>IF(E28="-","-",(G28+50000)/0.95)</f>
        <v/>
      </c>
      <c r="J28" s="2">
        <f>IF(E28="-","-",I28-G28-(5%*I28))</f>
        <v/>
      </c>
      <c r="K28" s="17">
        <f>IFERROR(J28/G28,"-")</f>
        <v/>
      </c>
      <c r="L28" s="45">
        <f>IF(E28="-","-",IF(COUNTIFS(Sales!$D$4:$D$60,Purchase!D28,Sales!$E$4:$E$60,Purchase!E28,Sales!$F$4:$F$60,Purchase!A28,Sales!$G$4:$G$60,Purchase!B28)=C28,"sold",C28-COUNTIFS(Sales!$D$4:$D$60,Purchase!D28,Sales!$E$4:$E$60,Purchase!E28,Sales!$F$4:$F$60,Purchase!A28,Sales!$G$4:$G$60,Purchase!B28)))</f>
        <v/>
      </c>
      <c r="M28" s="2">
        <f>IF(Purchase!$E28="-","-",IF(OR(Purchase!$L28="sold",Purchase!$L28="-"),"-",Purchase!$L28*Purchase!$G28))</f>
        <v/>
      </c>
      <c r="N28">
        <f>SUMIFS(C$4:C28,D$4:D28,D28,E$4:E28,E28)</f>
        <v/>
      </c>
      <c r="V28" t="inlineStr">
        <is>
          <t>[Person_15] 2.0 Laptop Backpack 20L</t>
        </is>
      </c>
      <c r="W28" t="inlineStr">
        <is>
          <t>Black</t>
        </is>
      </c>
      <c r="X28" t="n">
        <v>4</v>
      </c>
      <c r="Y28" s="26" t="n">
        <v>1259729.741339829</v>
      </c>
      <c r="Z28" t="n">
        <v>1</v>
      </c>
      <c r="AA28" s="26" t="n">
        <v>314932.4353349573</v>
      </c>
    </row>
    <row r="29">
      <c r="A29" s="12" t="n">
        <v>45146</v>
      </c>
      <c r="B29" s="13" t="inlineStr">
        <is>
          <t>Shopee</t>
        </is>
      </c>
      <c r="C29" s="13" t="n">
        <v>1</v>
      </c>
      <c r="D29" s="4" t="inlineStr">
        <is>
          <t>[Person_9] 20L Woman Backpack</t>
        </is>
      </c>
      <c r="E29" s="13" t="inlineStr">
        <is>
          <t>[Person_8]</t>
        </is>
      </c>
      <c r="F29" s="15">
        <f>765119/2</f>
        <v/>
      </c>
      <c r="G29" s="15">
        <f>IF(Purchase!$E29="-","-",F29/C29)</f>
        <v/>
      </c>
      <c r="H29" s="15">
        <f>IFERROR(VLOOKUP(D29,$P$4:$Q$23,2,FALSE),"-")</f>
        <v/>
      </c>
      <c r="I29" s="2">
        <f>IF(E29="-","-",(G29+50000)/0.95)</f>
        <v/>
      </c>
      <c r="J29" s="2">
        <f>IF(E29="-","-",I29-G29-(5%*I29))</f>
        <v/>
      </c>
      <c r="K29" s="17">
        <f>IFERROR(J29/G29,"-")</f>
        <v/>
      </c>
      <c r="L29" s="45">
        <f>IF(E29="-","-",IF(COUNTIFS(Sales!$D$4:$D$60,Purchase!D29,Sales!$E$4:$E$60,Purchase!E29,Sales!$F$4:$F$60,Purchase!A29,Sales!$G$4:$G$60,Purchase!B29)=C29,"sold",C29-COUNTIFS(Sales!$D$4:$D$60,Purchase!D29,Sales!$E$4:$E$60,Purchase!E29,Sales!$F$4:$F$60,Purchase!A29,Sales!$G$4:$G$60,Purchase!B29)))</f>
        <v/>
      </c>
      <c r="M29" s="2">
        <f>IF(Purchase!$E29="-","-",IF(OR(Purchase!$L29="sold",Purchase!$L29="-"),"-",Purchase!$L29*Purchase!$G29))</f>
        <v/>
      </c>
      <c r="N29">
        <f>SUMIFS(C$4:C29,D$4:D29,D29,E$4:E29,E29)</f>
        <v/>
      </c>
      <c r="V29" t="inlineStr">
        <is>
          <t>[Person_15] 2.0 Laptop Backpack 20L Total</t>
        </is>
      </c>
      <c r="X29" t="n">
        <v>4</v>
      </c>
      <c r="Y29" s="26" t="n">
        <v>1259729.741339829</v>
      </c>
      <c r="Z29" t="n">
        <v>1</v>
      </c>
      <c r="AA29" s="26" t="n">
        <v>314932.4353349573</v>
      </c>
    </row>
    <row r="30" ht="14.1" customHeight="1">
      <c r="A30" s="12" t="n">
        <v>45146</v>
      </c>
      <c r="B30" s="13" t="inlineStr">
        <is>
          <t>Shopee</t>
        </is>
      </c>
      <c r="C30" s="13" t="n">
        <v>1</v>
      </c>
      <c r="D30" s="14" t="inlineStr">
        <is>
          <t>[Person_9] 20L Woman Backpack</t>
        </is>
      </c>
      <c r="E30" s="13" t="inlineStr">
        <is>
          <t>[Person_18]</t>
        </is>
      </c>
      <c r="F30" s="15">
        <f>765119/2</f>
        <v/>
      </c>
      <c r="G30" s="15">
        <f>IF(Purchase!$E30="-","-",F30/C30)</f>
        <v/>
      </c>
      <c r="H30" s="15">
        <f>IFERROR(VLOOKUP(D30,$P$4:$Q$23,2,FALSE),"-")</f>
        <v/>
      </c>
      <c r="I30" s="2">
        <f>IF(E30="-","-",(G30+50000)/0.95)</f>
        <v/>
      </c>
      <c r="J30" s="2">
        <f>IF(E30="-","-",I30-G30-(5%*I30))</f>
        <v/>
      </c>
      <c r="K30" s="17">
        <f>IFERROR(J30/G30,"-")</f>
        <v/>
      </c>
      <c r="L30" s="45">
        <f>IF(E30="-","-",IF(COUNTIFS(Sales!$D$4:$D$60,Purchase!D30,Sales!$E$4:$E$60,Purchase!E30,Sales!$F$4:$F$60,Purchase!A30,Sales!$G$4:$G$60,Purchase!B30)=C30,"sold",C30-COUNTIFS(Sales!$D$4:$D$60,Purchase!D30,Sales!$E$4:$E$60,Purchase!E30,Sales!$F$4:$F$60,Purchase!A30,Sales!$G$4:$G$60,Purchase!B30)))</f>
        <v/>
      </c>
      <c r="M30" s="2">
        <f>IF(Purchase!$E30="-","-",IF(OR(Purchase!$L30="sold",Purchase!$L30="-"),"-",Purchase!$L30*Purchase!$G30))</f>
        <v/>
      </c>
      <c r="N30">
        <f>SUMIFS(C$4:C30,D$4:D30,D30,E$4:E30,E30)</f>
        <v/>
      </c>
      <c r="V30" t="inlineStr">
        <is>
          <t>Eiger Starter Daypack 16L</t>
        </is>
      </c>
      <c r="W30" t="inlineStr">
        <is>
          <t>Blue</t>
        </is>
      </c>
      <c r="X30" t="n">
        <v>2</v>
      </c>
      <c r="Y30" s="26" t="n">
        <v>437798</v>
      </c>
      <c r="Z30" t="n">
        <v>0</v>
      </c>
      <c r="AA30" s="26" t="n">
        <v>0</v>
      </c>
    </row>
    <row r="31">
      <c r="A31" s="12" t="n">
        <v>45146</v>
      </c>
      <c r="B31" s="13" t="inlineStr">
        <is>
          <t>Shopee</t>
        </is>
      </c>
      <c r="C31" s="13" t="n">
        <v>1</v>
      </c>
      <c r="D31" s="14" t="inlineStr">
        <is>
          <t>[Person_2] Backpack 20L</t>
        </is>
      </c>
      <c r="E31" s="13" t="inlineStr">
        <is>
          <t>Navy</t>
        </is>
      </c>
      <c r="F31" s="15">
        <f>(872150/3)</f>
        <v/>
      </c>
      <c r="G31" s="15">
        <f>IF(Purchase!$E31="-","-",F31/C31)</f>
        <v/>
      </c>
      <c r="H31" s="15">
        <f>IFERROR(VLOOKUP(D31,$P$4:$Q$23,2,FALSE),"-")</f>
        <v/>
      </c>
      <c r="I31" s="2">
        <f>IF(E31="-","-",(G31+50000)/0.95)</f>
        <v/>
      </c>
      <c r="J31" s="2">
        <f>IF(E31="-","-",I31-G31-(5%*I31))</f>
        <v/>
      </c>
      <c r="K31" s="17">
        <f>IFERROR(J31/G31,"-")</f>
        <v/>
      </c>
      <c r="L31" s="45">
        <f>IF(E31="-","-",IF(COUNTIFS(Sales!$D$4:$D$60,Purchase!D31,Sales!$E$4:$E$60,Purchase!E31,Sales!$F$4:$F$60,Purchase!A31,Sales!$G$4:$G$60,Purchase!B31)=C31,"sold",C31-COUNTIFS(Sales!$D$4:$D$60,Purchase!D31,Sales!$E$4:$E$60,Purchase!E31,Sales!$F$4:$F$60,Purchase!A31,Sales!$G$4:$G$60,Purchase!B31)))</f>
        <v/>
      </c>
      <c r="M31" s="2">
        <f>IF(Purchase!$E31="-","-",IF(OR(Purchase!$L31="sold",Purchase!$L31="-"),"-",Purchase!$L31*Purchase!$G31))</f>
        <v/>
      </c>
      <c r="N31">
        <f>SUMIFS(C$4:C31,D$4:D31,D31,E$4:E31,E31)</f>
        <v/>
      </c>
      <c r="W31" t="inlineStr">
        <is>
          <t>Olive</t>
        </is>
      </c>
      <c r="X31" t="n">
        <v>3</v>
      </c>
      <c r="Y31" s="26" t="n">
        <v>665237.5677059111</v>
      </c>
      <c r="Z31" t="n">
        <v>0</v>
      </c>
      <c r="AA31" s="26" t="n">
        <v>0</v>
      </c>
    </row>
    <row r="32">
      <c r="A32" s="12" t="n">
        <v>45146</v>
      </c>
      <c r="B32" s="13" t="inlineStr">
        <is>
          <t>Shopee</t>
        </is>
      </c>
      <c r="C32" s="13" t="n">
        <v>2</v>
      </c>
      <c r="D32" s="14" t="inlineStr">
        <is>
          <t>[Person_2] Backpack 20L</t>
        </is>
      </c>
      <c r="E32" s="13" t="inlineStr">
        <is>
          <t>Black</t>
        </is>
      </c>
      <c r="F32" s="15">
        <f>2*(872150/3)</f>
        <v/>
      </c>
      <c r="G32" s="15">
        <f>IF(Purchase!$E32="-","-",F32/C32)</f>
        <v/>
      </c>
      <c r="H32" s="15">
        <f>IFERROR(VLOOKUP(D32,$P$4:$Q$23,2,FALSE),"-")</f>
        <v/>
      </c>
      <c r="I32" s="2">
        <f>IF(E32="-","-",(G32+50000)/0.95)</f>
        <v/>
      </c>
      <c r="J32" s="2">
        <f>IF(E32="-","-",I32-G32-(5%*I32))</f>
        <v/>
      </c>
      <c r="K32" s="17">
        <f>IFERROR(J32/G32,"-")</f>
        <v/>
      </c>
      <c r="L32" s="45">
        <f>IF(E32="-","-",IF(COUNTIFS(Sales!$D$4:$D$60,Purchase!D32,Sales!$E$4:$E$60,Purchase!E32,Sales!$F$4:$F$60,Purchase!A32,Sales!$G$4:$G$60,Purchase!B32)=C32,"sold",C32-COUNTIFS(Sales!$D$4:$D$60,Purchase!D32,Sales!$E$4:$E$60,Purchase!E32,Sales!$F$4:$F$60,Purchase!A32,Sales!$G$4:$G$60,Purchase!B32)))</f>
        <v/>
      </c>
      <c r="M32" s="2">
        <f>IF(Purchase!$E32="-","-",IF(OR(Purchase!$L32="sold",Purchase!$L32="-"),"-",Purchase!$L32*Purchase!$G32))</f>
        <v/>
      </c>
      <c r="N32">
        <f>SUMIFS(C$4:C32,D$4:D32,D32,E$4:E32,E32)</f>
        <v/>
      </c>
      <c r="V32" t="inlineStr">
        <is>
          <t>Eiger Starter Daypack 16L Total</t>
        </is>
      </c>
      <c r="X32" t="n">
        <v>5</v>
      </c>
      <c r="Y32" s="26" t="n">
        <v>1103035.567705911</v>
      </c>
      <c r="Z32" t="n">
        <v>0</v>
      </c>
      <c r="AA32" s="26" t="n">
        <v>0</v>
      </c>
    </row>
    <row r="33">
      <c r="A33" s="12" t="n">
        <v>45147</v>
      </c>
      <c r="B33" s="13" t="inlineStr">
        <is>
          <t>Lazada</t>
        </is>
      </c>
      <c r="C33" s="13" t="n">
        <v>2</v>
      </c>
      <c r="D33" s="14" t="inlineStr">
        <is>
          <t>Eiger Starter Daypack 21L</t>
        </is>
      </c>
      <c r="E33" s="13" t="inlineStr">
        <is>
          <t>Olive</t>
        </is>
      </c>
      <c r="F33" s="15" t="n">
        <v>570497.9076792173</v>
      </c>
      <c r="G33" s="15">
        <f>IF(Purchase!$E33="-","-",F33/C33)</f>
        <v/>
      </c>
      <c r="H33" s="15">
        <f>IFERROR(VLOOKUP(D33,$P$4:$Q$23,2,FALSE),"-")</f>
        <v/>
      </c>
      <c r="I33" s="2">
        <f>IF(E33="-","-",(G33+50000)/0.95)</f>
        <v/>
      </c>
      <c r="J33" s="2">
        <f>IF(E33="-","-",I33-G33-(5%*I33))</f>
        <v/>
      </c>
      <c r="K33" s="17">
        <f>IFERROR(J33/G33,"-")</f>
        <v/>
      </c>
      <c r="L33" s="45">
        <f>IF(E33="-","-",IF(COUNTIFS(Sales!$D$4:$D$60,Purchase!D33,Sales!$E$4:$E$60,Purchase!E33,Sales!$F$4:$F$60,Purchase!A33,Sales!$G$4:$G$60,Purchase!B33)=C33,"sold",C33-COUNTIFS(Sales!$D$4:$D$60,Purchase!D33,Sales!$E$4:$E$60,Purchase!E33,Sales!$F$4:$F$60,Purchase!A33,Sales!$G$4:$G$60,Purchase!B33)))</f>
        <v/>
      </c>
      <c r="M33" s="2">
        <f>IF(Purchase!$E33="-","-",IF(OR(Purchase!$L33="sold",Purchase!$L33="-"),"-",Purchase!$L33*Purchase!$G33))</f>
        <v/>
      </c>
      <c r="N33">
        <f>SUMIFS(C$4:C33,D$4:D33,D33,E$4:E33,E33)</f>
        <v/>
      </c>
      <c r="V33" t="inlineStr">
        <is>
          <t>Eiger Starter Daypack 21L</t>
        </is>
      </c>
      <c r="W33" t="inlineStr">
        <is>
          <t>Blue</t>
        </is>
      </c>
      <c r="X33" t="n">
        <v>1</v>
      </c>
      <c r="Y33" s="26" t="n">
        <v>278152</v>
      </c>
      <c r="Z33" t="n">
        <v>1</v>
      </c>
      <c r="AA33" s="26" t="n">
        <v>278152</v>
      </c>
    </row>
    <row r="34">
      <c r="A34" s="12" t="n">
        <v>45147</v>
      </c>
      <c r="B34" s="13" t="inlineStr">
        <is>
          <t>Lazada</t>
        </is>
      </c>
      <c r="C34" s="13" t="n">
        <v>1</v>
      </c>
      <c r="D34" s="14" t="inlineStr">
        <is>
          <t>Eiger Meridian 30L Laptop Backpack</t>
        </is>
      </c>
      <c r="E34" s="13" t="inlineStr">
        <is>
          <t>[Person_17]</t>
        </is>
      </c>
      <c r="F34" s="15" t="n">
        <v>451298.0923207828</v>
      </c>
      <c r="G34" s="15">
        <f>IF(Purchase!$E34="-","-",F34/C34)</f>
        <v/>
      </c>
      <c r="H34" s="15">
        <f>IFERROR(VLOOKUP(D34,$P$4:$Q$23,2,FALSE),"-")</f>
        <v/>
      </c>
      <c r="I34" s="2">
        <f>IF(E34="-","-",(G34+50000)/0.95)</f>
        <v/>
      </c>
      <c r="J34" s="2">
        <f>IF(E34="-","-",I34-G34-(5%*I34))</f>
        <v/>
      </c>
      <c r="K34" s="17">
        <f>IFERROR(J34/G34,"-")</f>
        <v/>
      </c>
      <c r="L34" s="45">
        <f>IF(E34="-","-",IF(COUNTIFS(Sales!$D$4:$D$60,Purchase!D34,Sales!$E$4:$E$60,Purchase!E34,Sales!$F$4:$F$60,Purchase!A34,Sales!$G$4:$G$60,Purchase!B34)=C34,"sold",C34-COUNTIFS(Sales!$D$4:$D$60,Purchase!D34,Sales!$E$4:$E$60,Purchase!E34,Sales!$F$4:$F$60,Purchase!A34,Sales!$G$4:$G$60,Purchase!B34)))</f>
        <v/>
      </c>
      <c r="M34" s="2">
        <f>IF(Purchase!$E34="-","-",IF(OR(Purchase!$L34="sold",Purchase!$L34="-"),"-",Purchase!$L34*Purchase!$G34))</f>
        <v/>
      </c>
      <c r="N34">
        <f>SUMIFS(C$4:C34,D$4:D34,D34,E$4:E34,E34)</f>
        <v/>
      </c>
      <c r="W34" t="inlineStr">
        <is>
          <t>Olive</t>
        </is>
      </c>
      <c r="X34" t="n">
        <v>2</v>
      </c>
      <c r="Y34" s="26" t="n">
        <v>570497.9076792173</v>
      </c>
      <c r="Z34" t="n">
        <v>2</v>
      </c>
      <c r="AA34" s="26" t="n">
        <v>570497.9076792173</v>
      </c>
    </row>
    <row r="35">
      <c r="A35" s="12" t="n">
        <v>45172</v>
      </c>
      <c r="B35" s="1" t="inlineStr">
        <is>
          <t>Lazada</t>
        </is>
      </c>
      <c r="C35" s="1" t="n">
        <v>1</v>
      </c>
      <c r="D35" s="14" t="inlineStr">
        <is>
          <t>[Person_12]</t>
        </is>
      </c>
      <c r="E35" s="1" t="inlineStr">
        <is>
          <t>Olive</t>
        </is>
      </c>
      <c r="F35" s="2" t="n">
        <v>235000</v>
      </c>
      <c r="G35" s="15">
        <f>IF(Purchase!$E35="-","-",F35/C35)</f>
        <v/>
      </c>
      <c r="H35" s="15">
        <f>IFERROR(VLOOKUP(D35,$P$4:$Q$23,2,FALSE),"-")</f>
        <v/>
      </c>
      <c r="I35" s="2">
        <f>IF(E35="-","-",(G35+50000)/0.95)</f>
        <v/>
      </c>
      <c r="J35" s="2">
        <f>IF(E35="-","-",I35-G35-(5%*I35))</f>
        <v/>
      </c>
      <c r="K35" s="17">
        <f>IFERROR(J35/G35,"-")</f>
        <v/>
      </c>
      <c r="L35" s="45">
        <f>IF(E35="-","-",IF(COUNTIFS(Sales!$D$4:$D$60,Purchase!D35,Sales!$E$4:$E$60,Purchase!E35,Sales!$F$4:$F$60,Purchase!A35,Sales!$G$4:$G$60,Purchase!B35)=C35,"sold",C35-COUNTIFS(Sales!$D$4:$D$60,Purchase!D35,Sales!$E$4:$E$60,Purchase!E35,Sales!$F$4:$F$60,Purchase!A35,Sales!$G$4:$G$60,Purchase!B35)))</f>
        <v/>
      </c>
      <c r="M35" s="2">
        <f>IF(Purchase!$E35="-","-",IF(OR(Purchase!$L35="sold",Purchase!$L35="-"),"-",Purchase!$L35*Purchase!$G35))</f>
        <v/>
      </c>
      <c r="N35">
        <f>SUMIFS(C$4:C35,D$4:D35,D35,E$4:E35,E35)</f>
        <v/>
      </c>
      <c r="V35" t="inlineStr">
        <is>
          <t>Eiger Starter Daypack 21L Total</t>
        </is>
      </c>
      <c r="X35" t="n">
        <v>3</v>
      </c>
      <c r="Y35" s="26" t="n">
        <v>848649.9076792173</v>
      </c>
      <c r="Z35" t="n">
        <v>3</v>
      </c>
      <c r="AA35" s="26" t="n">
        <v>848649.9076792173</v>
      </c>
    </row>
    <row r="36">
      <c r="A36" s="12" t="n">
        <v>45178</v>
      </c>
      <c r="B36" s="1" t="inlineStr">
        <is>
          <t>Shopee</t>
        </is>
      </c>
      <c r="C36" s="1" t="n">
        <v>10</v>
      </c>
      <c r="D36" t="inlineStr">
        <is>
          <t>[Person_11] 25L</t>
        </is>
      </c>
      <c r="E36" s="13" t="inlineStr">
        <is>
          <t>Black</t>
        </is>
      </c>
      <c r="F36" s="2">
        <f>812000+813000+788918+1594153</f>
        <v/>
      </c>
      <c r="G36" s="15">
        <f>IF(Purchase!$E36="-","-",F36/C36)</f>
        <v/>
      </c>
      <c r="H36" s="15">
        <f>IFERROR(VLOOKUP(D36,$P$4:$Q$23,2,FALSE),"-")</f>
        <v/>
      </c>
      <c r="I36" s="2">
        <f>IF(E36="-","-",(G36+50000)/0.95)</f>
        <v/>
      </c>
      <c r="J36" s="2">
        <f>IF(E36="-","-",I36-G36-(5%*I36))</f>
        <v/>
      </c>
      <c r="K36" s="17">
        <f>IFERROR(J36/G36,"-")</f>
        <v/>
      </c>
      <c r="L36" s="45">
        <f>IF(E36="-","-",IF(COUNTIFS(Sales!$D$4:$D$60,Purchase!D36,Sales!$E$4:$E$60,Purchase!E36,Sales!$F$4:$F$60,Purchase!A36,Sales!$G$4:$G$60,Purchase!B36)=C36,"sold",C36-COUNTIFS(Sales!$D$4:$D$60,Purchase!D36,Sales!$E$4:$E$60,Purchase!E36,Sales!$F$4:$F$60,Purchase!A36,Sales!$G$4:$G$60,Purchase!B36)))</f>
        <v/>
      </c>
      <c r="M36" s="2">
        <f>IF(Purchase!$E36="-","-",IF(OR(Purchase!$L36="sold",Purchase!$L36="-"),"-",Purchase!$L36*Purchase!$G36))</f>
        <v/>
      </c>
      <c r="N36">
        <f>SUMIFS(C$4:C36,D$4:D36,D36,E$4:E36,E36)</f>
        <v/>
      </c>
      <c r="V36" t="inlineStr">
        <is>
          <t>[Person_2] Backpack 20L</t>
        </is>
      </c>
      <c r="W36" t="inlineStr">
        <is>
          <t>Black</t>
        </is>
      </c>
      <c r="X36" t="n">
        <v>13</v>
      </c>
      <c r="Y36" s="26" t="n">
        <v>3806077.228995121</v>
      </c>
      <c r="Z36" t="n">
        <v>2</v>
      </c>
      <c r="AA36" s="26" t="n">
        <v>581433.3333333334</v>
      </c>
    </row>
    <row r="37">
      <c r="A37" s="12" t="n">
        <v>45178</v>
      </c>
      <c r="B37" s="1" t="inlineStr">
        <is>
          <t>Lazada</t>
        </is>
      </c>
      <c r="C37" s="1" t="n">
        <v>7</v>
      </c>
      <c r="D37" s="14" t="inlineStr">
        <is>
          <t>Eiger Forlough 20 Laptop Backpack</t>
        </is>
      </c>
      <c r="E37" s="13" t="inlineStr">
        <is>
          <t>Black</t>
        </is>
      </c>
      <c r="F37" s="2">
        <f>673490+697490+1052235</f>
        <v/>
      </c>
      <c r="G37" s="15">
        <f>IF(Purchase!$E37="-","-",F37/C37)</f>
        <v/>
      </c>
      <c r="H37" s="15">
        <f>IFERROR(VLOOKUP(D37,$P$4:$Q$23,2,FALSE),"-")</f>
        <v/>
      </c>
      <c r="I37" s="2">
        <f>IF(E37="-","-",(G37+50000)/0.95)</f>
        <v/>
      </c>
      <c r="J37" s="2">
        <f>IF(E37="-","-",I37-G37-(5%*I37))</f>
        <v/>
      </c>
      <c r="K37" s="17">
        <f>IFERROR(J37/G37,"-")</f>
        <v/>
      </c>
      <c r="L37" s="45">
        <f>IF(E37="-","-",IF(COUNTIFS(Sales!$D$4:$D$60,Purchase!D37,Sales!$E$4:$E$60,Purchase!E37,Sales!$F$4:$F$60,Purchase!A37,Sales!$G$4:$G$60,Purchase!B37)=C37,"sold",C37-COUNTIFS(Sales!$D$4:$D$60,Purchase!D37,Sales!$E$4:$E$60,Purchase!E37,Sales!$F$4:$F$60,Purchase!A37,Sales!$G$4:$G$60,Purchase!B37)))</f>
        <v/>
      </c>
      <c r="M37" s="2">
        <f>IF(Purchase!$E37="-","-",IF(OR(Purchase!$L37="sold",Purchase!$L37="-"),"-",Purchase!$L37*Purchase!$G37))</f>
        <v/>
      </c>
      <c r="N37">
        <f>SUMIFS(C$4:C37,D$4:D37,D37,E$4:E37,E37)</f>
        <v/>
      </c>
      <c r="W37" t="inlineStr">
        <is>
          <t>Khaki</t>
        </is>
      </c>
      <c r="X37" t="n">
        <v>2</v>
      </c>
      <c r="Y37" s="26" t="n">
        <v>596907.0310592738</v>
      </c>
      <c r="Z37" t="n">
        <v>1</v>
      </c>
      <c r="AA37" s="26" t="n">
        <v>298453.5155296369</v>
      </c>
    </row>
    <row r="38">
      <c r="A38" s="12" t="n">
        <v>45178</v>
      </c>
      <c r="B38" s="1" t="inlineStr">
        <is>
          <t>Shopee</t>
        </is>
      </c>
      <c r="C38" s="1" t="n">
        <v>1</v>
      </c>
      <c r="D38" s="4" t="inlineStr">
        <is>
          <t>[Person_5] Pack 20L Backpack</t>
        </is>
      </c>
      <c r="E38" s="1" t="inlineStr">
        <is>
          <t>Black</t>
        </is>
      </c>
      <c r="F38" s="2" t="n">
        <v>291816.6666666667</v>
      </c>
      <c r="G38" s="15">
        <f>IF(Purchase!$E38="-","-",F38/C38)</f>
        <v/>
      </c>
      <c r="H38" s="15">
        <f>IFERROR(VLOOKUP(D38,$P$4:$Q$23,2,FALSE),"-")</f>
        <v/>
      </c>
      <c r="I38" s="2">
        <f>IF(E38="-","-",(G38+50000)/0.95)</f>
        <v/>
      </c>
      <c r="J38" s="2">
        <f>IF(E38="-","-",I38-G38-(5%*I38))</f>
        <v/>
      </c>
      <c r="K38" s="17">
        <f>IFERROR(J38/G38,"-")</f>
        <v/>
      </c>
      <c r="L38" s="45">
        <f>IF(E38="-","-",IF(COUNTIFS(Sales!$D$4:$D$60,Purchase!D38,Sales!$E$4:$E$60,Purchase!E38,Sales!$F$4:$F$60,Purchase!A38,Sales!$G$4:$G$60,Purchase!B38)=C38,"sold",C38-COUNTIFS(Sales!$D$4:$D$60,Purchase!D38,Sales!$E$4:$E$60,Purchase!E38,Sales!$F$4:$F$60,Purchase!A38,Sales!$G$4:$G$60,Purchase!B38)))</f>
        <v/>
      </c>
      <c r="M38" s="2">
        <f>IF(Purchase!$E38="-","-",IF(OR(Purchase!$L38="sold",Purchase!$L38="-"),"-",Purchase!$L38*Purchase!$G38))</f>
        <v/>
      </c>
      <c r="N38">
        <f>SUMIFS(C$4:C38,D$4:D38,D38,E$4:E38,E38)</f>
        <v/>
      </c>
      <c r="W38" t="inlineStr">
        <is>
          <t>Navy</t>
        </is>
      </c>
      <c r="X38" t="n">
        <v>3</v>
      </c>
      <c r="Y38" s="26" t="n">
        <v>858086.6318872625</v>
      </c>
      <c r="Z38" t="n">
        <v>0</v>
      </c>
      <c r="AA38" s="26" t="n">
        <v>0</v>
      </c>
    </row>
    <row r="39">
      <c r="A39" s="12" t="n">
        <v>45178</v>
      </c>
      <c r="B39" s="1" t="inlineStr">
        <is>
          <t>Lazada</t>
        </is>
      </c>
      <c r="C39" s="1" t="n">
        <v>2</v>
      </c>
      <c r="D39" s="4" t="inlineStr">
        <is>
          <t>[Person_12]</t>
        </is>
      </c>
      <c r="E39" s="1" t="inlineStr">
        <is>
          <t>Olive</t>
        </is>
      </c>
      <c r="F39" s="2" t="n">
        <v>537090</v>
      </c>
      <c r="G39" s="15">
        <f>IF(Purchase!$E39="-","-",F39/C39)</f>
        <v/>
      </c>
      <c r="H39" s="15">
        <f>IFERROR(VLOOKUP(D39,$P$4:$Q$23,2,FALSE),"-")</f>
        <v/>
      </c>
      <c r="I39" s="2">
        <f>IF(E39="-","-",(G39+50000)/0.95)</f>
        <v/>
      </c>
      <c r="J39" s="2">
        <f>IF(E39="-","-",I39-G39-(5%*I39))</f>
        <v/>
      </c>
      <c r="K39" s="17">
        <f>IFERROR(J39/G39,"-")</f>
        <v/>
      </c>
      <c r="L39" s="45">
        <f>IF(E39="-","-",IF(COUNTIFS(Sales!$D$4:$D$60,Purchase!D39,Sales!$E$4:$E$60,Purchase!E39,Sales!$F$4:$F$60,Purchase!A39,Sales!$G$4:$G$60,Purchase!B39)=C39,"sold",C39-COUNTIFS(Sales!$D$4:$D$60,Purchase!D39,Sales!$E$4:$E$60,Purchase!E39,Sales!$F$4:$F$60,Purchase!A39,Sales!$G$4:$G$60,Purchase!B39)))</f>
        <v/>
      </c>
      <c r="M39" s="2">
        <f>IF(Purchase!$E39="-","-",IF(OR(Purchase!$L39="sold",Purchase!$L39="-"),"-",Purchase!$L39*Purchase!$G39))</f>
        <v/>
      </c>
      <c r="N39">
        <f>SUMIFS(C$4:C39,D$4:D39,D39,E$4:E39,E39)</f>
        <v/>
      </c>
      <c r="V39" t="inlineStr">
        <is>
          <t>[Person_2] Backpack 20L Total</t>
        </is>
      </c>
      <c r="X39" t="n">
        <v>18</v>
      </c>
      <c r="Y39" s="26" t="n">
        <v>5261070.891941657</v>
      </c>
      <c r="Z39" t="n">
        <v>3</v>
      </c>
      <c r="AA39" s="26" t="n">
        <v>879886.8488629702</v>
      </c>
    </row>
    <row r="40">
      <c r="A40" s="12" t="n">
        <v>45178</v>
      </c>
      <c r="B40" s="1" t="inlineStr">
        <is>
          <t>Shopee</t>
        </is>
      </c>
      <c r="C40" s="1" t="n">
        <v>1</v>
      </c>
      <c r="D40" s="4" t="inlineStr">
        <is>
          <t>[Person_10] 20L Laptop Backpack</t>
        </is>
      </c>
      <c r="E40" s="1" t="inlineStr">
        <is>
          <t>Navy</t>
        </is>
      </c>
      <c r="F40" s="2" t="n">
        <v>179100</v>
      </c>
      <c r="G40" s="15">
        <f>IF(Purchase!$E40="-","-",F40/C40)</f>
        <v/>
      </c>
      <c r="H40" s="15">
        <f>IFERROR(VLOOKUP(D40,$P$4:$Q$23,2,FALSE),"-")</f>
        <v/>
      </c>
      <c r="I40" s="2">
        <f>IF(E40="-","-",(G40+50000)/0.95)</f>
        <v/>
      </c>
      <c r="J40" s="2">
        <f>IF(E40="-","-",I40-G40-(5%*I40))</f>
        <v/>
      </c>
      <c r="K40" s="17">
        <f>IFERROR(J40/G40,"-")</f>
        <v/>
      </c>
      <c r="L40" s="45">
        <f>IF(E40="-","-",IF(COUNTIFS(Sales!$D$4:$D$60,Purchase!D40,Sales!$E$4:$E$60,Purchase!E40,Sales!$F$4:$F$60,Purchase!A40,Sales!$G$4:$G$60,Purchase!B40)=C40,"sold",C40-COUNTIFS(Sales!$D$4:$D$60,Purchase!D40,Sales!$E$4:$E$60,Purchase!E40,Sales!$F$4:$F$60,Purchase!A40,Sales!$G$4:$G$60,Purchase!B40)))</f>
        <v/>
      </c>
      <c r="M40" s="2">
        <f>IF(Purchase!$E40="-","-",IF(OR(Purchase!$L40="sold",Purchase!$L40="-"),"-",Purchase!$L40*Purchase!$G40))</f>
        <v/>
      </c>
      <c r="N40">
        <f>SUMIFS(C$4:C40,D$4:D40,D40,E$4:E40,E40)</f>
        <v/>
      </c>
      <c r="V40" t="inlineStr">
        <is>
          <t>[Person_12]</t>
        </is>
      </c>
      <c r="W40" t="inlineStr">
        <is>
          <t>Navy</t>
        </is>
      </c>
      <c r="X40" t="n">
        <v>2</v>
      </c>
      <c r="Y40" s="26" t="n">
        <v>492376.0786814133</v>
      </c>
      <c r="Z40" t="n">
        <v>1</v>
      </c>
      <c r="AA40" s="26" t="n">
        <v>246188.0393407067</v>
      </c>
    </row>
    <row r="41">
      <c r="A41" s="12" t="n">
        <v>45179</v>
      </c>
      <c r="B41" s="1" t="inlineStr">
        <is>
          <t>Lazada</t>
        </is>
      </c>
      <c r="C41" s="1" t="n">
        <v>2</v>
      </c>
      <c r="D41" s="4" t="inlineStr">
        <is>
          <t>Eiger Forlough 20 Laptop Backpack</t>
        </is>
      </c>
      <c r="E41" s="1" t="inlineStr">
        <is>
          <t>Black</t>
        </is>
      </c>
      <c r="F41" s="2">
        <f>(1045673/3)*2</f>
        <v/>
      </c>
      <c r="G41" s="15">
        <f>IF(Purchase!$E41="-","-",F41/C41)</f>
        <v/>
      </c>
      <c r="H41" s="15">
        <f>IFERROR(VLOOKUP(D41,$P$4:$Q$23,2,FALSE),"-")</f>
        <v/>
      </c>
      <c r="I41" s="2">
        <f>IF(E41="-","-",(G41+50000)/0.95)</f>
        <v/>
      </c>
      <c r="J41" s="2">
        <f>IF(E41="-","-",I41-G41-(5%*I41))</f>
        <v/>
      </c>
      <c r="K41" s="17">
        <f>IFERROR(J41/G41,"-")</f>
        <v/>
      </c>
      <c r="L41" s="45">
        <f>IF(E41="-","-",IF(COUNTIFS(Sales!$D$4:$D$60,Purchase!D41,Sales!$E$4:$E$60,Purchase!E41,Sales!$F$4:$F$60,Purchase!A41,Sales!$G$4:$G$60,Purchase!B41)=C41,"sold",C41-COUNTIFS(Sales!$D$4:$D$60,Purchase!D41,Sales!$E$4:$E$60,Purchase!E41,Sales!$F$4:$F$60,Purchase!A41,Sales!$G$4:$G$60,Purchase!B41)))</f>
        <v/>
      </c>
      <c r="M41" s="2">
        <f>IF(Purchase!$E41="-","-",IF(OR(Purchase!$L41="sold",Purchase!$L41="-"),"-",Purchase!$L41*Purchase!$G41))</f>
        <v/>
      </c>
      <c r="N41">
        <f>SUMIFS(C$4:C41,D$4:D41,D41,E$4:E41,E41)</f>
        <v/>
      </c>
      <c r="W41" t="inlineStr">
        <is>
          <t>Olive</t>
        </is>
      </c>
      <c r="X41" t="n">
        <v>4</v>
      </c>
      <c r="Y41" s="26" t="n">
        <v>1048640</v>
      </c>
      <c r="Z41" t="n">
        <v>1</v>
      </c>
      <c r="AA41" s="26" t="n">
        <v>268545</v>
      </c>
    </row>
    <row r="42">
      <c r="A42" s="12" t="n">
        <v>45179</v>
      </c>
      <c r="B42" s="1" t="inlineStr">
        <is>
          <t>Lazada</t>
        </is>
      </c>
      <c r="C42" s="1" t="n">
        <v>1</v>
      </c>
      <c r="D42" s="4" t="inlineStr">
        <is>
          <t>Eiger Forlough 20 Laptop Backpack</t>
        </is>
      </c>
      <c r="E42" s="1" t="inlineStr">
        <is>
          <t>Maroon</t>
        </is>
      </c>
      <c r="F42" s="2">
        <f>(1045673/3)</f>
        <v/>
      </c>
      <c r="G42" s="15">
        <f>IF(Purchase!$E42="-","-",F42/C42)</f>
        <v/>
      </c>
      <c r="H42" s="15">
        <f>IFERROR(VLOOKUP(D42,$P$4:$Q$23,2,FALSE),"-")</f>
        <v/>
      </c>
      <c r="I42" s="2">
        <f>IF(E42="-","-",(G42+50000)/0.95)</f>
        <v/>
      </c>
      <c r="J42" s="2">
        <f>IF(E42="-","-",I42-G42-(5%*I42))</f>
        <v/>
      </c>
      <c r="K42" s="17">
        <f>IFERROR(J42/G42,"-")</f>
        <v/>
      </c>
      <c r="L42" s="45">
        <f>IF(E42="-","-",IF(COUNTIFS(Sales!$D$4:$D$60,Purchase!D42,Sales!$E$4:$E$60,Purchase!E42,Sales!$F$4:$F$60,Purchase!A42,Sales!$G$4:$G$60,Purchase!B42)=C42,"sold",C42-COUNTIFS(Sales!$D$4:$D$60,Purchase!D42,Sales!$E$4:$E$60,Purchase!E42,Sales!$F$4:$F$60,Purchase!A42,Sales!$G$4:$G$60,Purchase!B42)))</f>
        <v/>
      </c>
      <c r="M42" s="2">
        <f>IF(Purchase!$E42="-","-",IF(OR(Purchase!$L42="sold",Purchase!$L42="-"),"-",Purchase!$L42*Purchase!$G42))</f>
        <v/>
      </c>
      <c r="N42">
        <f>SUMIFS(C$4:C42,D$4:D42,D42,E$4:E42,E42)</f>
        <v/>
      </c>
      <c r="V42" t="inlineStr">
        <is>
          <t>[Person_19] Backpack Total</t>
        </is>
      </c>
      <c r="X42" t="n">
        <v>6</v>
      </c>
      <c r="Y42" s="26" t="n">
        <v>1541016.078681413</v>
      </c>
      <c r="Z42" t="n">
        <v>2</v>
      </c>
      <c r="AA42" s="26" t="n">
        <v>514733.0393407067</v>
      </c>
    </row>
    <row r="43">
      <c r="A43" s="12" t="n">
        <v>45180</v>
      </c>
      <c r="B43" s="1" t="inlineStr">
        <is>
          <t>Lazada</t>
        </is>
      </c>
      <c r="C43" s="1" t="n">
        <v>1</v>
      </c>
      <c r="D43" s="4" t="inlineStr">
        <is>
          <t>[Person_16] Termina 2.0 Backpack</t>
        </is>
      </c>
      <c r="E43" s="1" t="inlineStr">
        <is>
          <t>Black</t>
        </is>
      </c>
      <c r="F43" s="2" t="n">
        <v>323000</v>
      </c>
      <c r="G43" s="15">
        <f>IF(Purchase!$E43="-","-",F43/C43)</f>
        <v/>
      </c>
      <c r="H43" s="15">
        <f>IFERROR(VLOOKUP(D43,$P$4:$Q$23,2,FALSE),"-")</f>
        <v/>
      </c>
      <c r="I43" s="2">
        <f>IF(E43="-","-",(G43+50000)/0.95)</f>
        <v/>
      </c>
      <c r="J43" s="2">
        <f>IF(E43="-","-",I43-G43-(5%*I43))</f>
        <v/>
      </c>
      <c r="K43" s="17">
        <f>IFERROR(J43/G43,"-")</f>
        <v/>
      </c>
      <c r="L43" s="45">
        <f>IF(E43="-","-",IF(COUNTIFS(Sales!$D$4:$D$60,Purchase!D43,Sales!$E$4:$E$60,Purchase!E43,Sales!$F$4:$F$60,Purchase!A43,Sales!$G$4:$G$60,Purchase!B43)=C43,"sold",C43-COUNTIFS(Sales!$D$4:$D$60,Purchase!D43,Sales!$E$4:$E$60,Purchase!E43,Sales!$F$4:$F$60,Purchase!A43,Sales!$G$4:$G$60,Purchase!B43)))</f>
        <v/>
      </c>
      <c r="M43" s="2">
        <f>IF(Purchase!$E43="-","-",IF(OR(Purchase!$L43="sold",Purchase!$L43="-"),"-",Purchase!$L43*Purchase!$G43))</f>
        <v/>
      </c>
      <c r="N43">
        <f>SUMIFS(C$4:C43,D$4:D43,D43,E$4:E43,E43)</f>
        <v/>
      </c>
      <c r="V43" t="inlineStr">
        <is>
          <t>[Person_9] 20L Woman Backpack</t>
        </is>
      </c>
      <c r="W43" t="inlineStr">
        <is>
          <t>[Person_8]</t>
        </is>
      </c>
      <c r="X43" t="n">
        <v>2</v>
      </c>
      <c r="Y43" s="26" t="n">
        <v>749187.8333333333</v>
      </c>
      <c r="Z43" t="n">
        <v>0</v>
      </c>
      <c r="AA43" s="26" t="n">
        <v>0</v>
      </c>
    </row>
    <row r="44">
      <c r="A44" s="12" t="n">
        <v>45183</v>
      </c>
      <c r="B44" s="1" t="inlineStr">
        <is>
          <t>Tokopedia</t>
        </is>
      </c>
      <c r="C44" s="1" t="n">
        <v>2</v>
      </c>
      <c r="D44" s="4" t="inlineStr">
        <is>
          <t>[Person_9] 20L Woman Backpack</t>
        </is>
      </c>
      <c r="E44" s="1" t="inlineStr">
        <is>
          <t>Burgundy</t>
        </is>
      </c>
      <c r="F44" s="2" t="n">
        <v>792384</v>
      </c>
      <c r="G44" s="15">
        <f>IF(Purchase!$E44="-","-",F44/C44)</f>
        <v/>
      </c>
      <c r="H44" s="15">
        <f>IFERROR(VLOOKUP(D44,$P$4:$Q$23,2,FALSE),"-")</f>
        <v/>
      </c>
      <c r="I44" s="2">
        <f>IF(E44="-","-",(G44+50000)/0.95)</f>
        <v/>
      </c>
      <c r="J44" s="2">
        <f>IF(E44="-","-",I44-G44-(5%*I44))</f>
        <v/>
      </c>
      <c r="K44" s="17">
        <f>IFERROR(J44/G44,"-")</f>
        <v/>
      </c>
      <c r="L44" s="45">
        <f>IF(E44="-","-",IF(COUNTIFS(Sales!$D$4:$D$60,Purchase!D44,Sales!$E$4:$E$60,Purchase!E44,Sales!$F$4:$F$60,Purchase!A44,Sales!$G$4:$G$60,Purchase!B44)=C44,"sold",C44-COUNTIFS(Sales!$D$4:$D$60,Purchase!D44,Sales!$E$4:$E$60,Purchase!E44,Sales!$F$4:$F$60,Purchase!A44,Sales!$G$4:$G$60,Purchase!B44)))</f>
        <v/>
      </c>
      <c r="M44" s="2">
        <f>IF(Purchase!$E44="-","-",IF(OR(Purchase!$L44="sold",Purchase!$L44="-"),"-",Purchase!$L44*Purchase!$G44))</f>
        <v/>
      </c>
      <c r="N44">
        <f>SUMIFS(C$4:C44,D$4:D44,D44,E$4:E44,E44)</f>
        <v/>
      </c>
      <c r="W44" t="inlineStr">
        <is>
          <t>[Person_18]</t>
        </is>
      </c>
      <c r="X44" t="n">
        <v>1</v>
      </c>
      <c r="Y44" s="26" t="n">
        <v>382559.5</v>
      </c>
      <c r="Z44" t="n">
        <v>1</v>
      </c>
      <c r="AA44" s="26" t="n">
        <v>382559.5</v>
      </c>
    </row>
    <row r="45">
      <c r="A45" s="12" t="n">
        <v>45184</v>
      </c>
      <c r="B45" s="1" t="inlineStr">
        <is>
          <t>Shopee</t>
        </is>
      </c>
      <c r="C45" s="1" t="n">
        <v>3</v>
      </c>
      <c r="D45" s="4" t="inlineStr">
        <is>
          <t>[Person_11] 25L</t>
        </is>
      </c>
      <c r="E45" s="1" t="inlineStr">
        <is>
          <t>Black</t>
        </is>
      </c>
      <c r="F45" s="2" t="n">
        <v>1096300</v>
      </c>
      <c r="G45" s="15">
        <f>IF(Purchase!$E45="-","-",F45/C45)</f>
        <v/>
      </c>
      <c r="H45" s="15">
        <f>IFERROR(VLOOKUP(D45,$P$4:$Q$23,2,FALSE),"-")</f>
        <v/>
      </c>
      <c r="I45" s="2">
        <f>IF(E45="-","-",(G45+50000)/0.95)</f>
        <v/>
      </c>
      <c r="J45" s="2">
        <f>IF(E45="-","-",I45-G45-(5%*I45))</f>
        <v/>
      </c>
      <c r="K45" s="17">
        <f>IFERROR(J45/G45,"-")</f>
        <v/>
      </c>
      <c r="L45" s="45">
        <f>IF(E45="-","-",IF(COUNTIFS(Sales!$D$4:$D$60,Purchase!D45,Sales!$E$4:$E$60,Purchase!E45,Sales!$F$4:$F$60,Purchase!A45,Sales!$G$4:$G$60,Purchase!B45)=C45,"sold",C45-COUNTIFS(Sales!$D$4:$D$60,Purchase!D45,Sales!$E$4:$E$60,Purchase!E45,Sales!$F$4:$F$60,Purchase!A45,Sales!$G$4:$G$60,Purchase!B45)))</f>
        <v/>
      </c>
      <c r="M45" s="2">
        <f>IF(Purchase!$E45="-","-",IF(OR(Purchase!$L45="sold",Purchase!$L45="-"),"-",Purchase!$L45*Purchase!$G45))</f>
        <v/>
      </c>
      <c r="N45">
        <f>SUMIFS(C$4:C45,D$4:D45,D45,E$4:E45,E45)</f>
        <v/>
      </c>
      <c r="W45" t="inlineStr">
        <is>
          <t>Burgundy</t>
        </is>
      </c>
      <c r="X45" t="n">
        <v>4</v>
      </c>
      <c r="Y45" s="26" t="n">
        <v>1525640.666666667</v>
      </c>
      <c r="Z45" t="n">
        <v>2</v>
      </c>
      <c r="AA45" s="26" t="n">
        <v>792384</v>
      </c>
    </row>
    <row r="46">
      <c r="A46" s="12" t="n">
        <v>45190</v>
      </c>
      <c r="B46" s="1" t="inlineStr">
        <is>
          <t>Shopee</t>
        </is>
      </c>
      <c r="C46" s="1" t="n">
        <v>3</v>
      </c>
      <c r="D46" s="4" t="inlineStr">
        <is>
          <t>[Person_11] 25L</t>
        </is>
      </c>
      <c r="E46" s="1" t="inlineStr">
        <is>
          <t>Navy</t>
        </is>
      </c>
      <c r="F46" s="2" t="n">
        <v>1058720</v>
      </c>
      <c r="G46" s="15">
        <f>IF(Purchase!$E46="-","-",F46/C46)</f>
        <v/>
      </c>
      <c r="H46" s="15">
        <f>IFERROR(VLOOKUP(D46,$P$4:$Q$23,2,FALSE),"-")</f>
        <v/>
      </c>
      <c r="I46" s="2">
        <f>IF(E46="-","-",(G46+50000)/0.95)</f>
        <v/>
      </c>
      <c r="J46" s="2">
        <f>IF(E46="-","-",I46-G46-(5%*I46))</f>
        <v/>
      </c>
      <c r="K46" s="17">
        <f>IFERROR(J46/G46,"-")</f>
        <v/>
      </c>
      <c r="L46" s="45">
        <f>IF(E46="-","-",IF(COUNTIFS(Sales!$D$4:$D$60,Purchase!D46,Sales!$E$4:$E$60,Purchase!E46,Sales!$F$4:$F$60,Purchase!A46,Sales!$G$4:$G$60,Purchase!B46)=C46,"sold",C46-COUNTIFS(Sales!$D$4:$D$60,Purchase!D46,Sales!$E$4:$E$60,Purchase!E46,Sales!$F$4:$F$60,Purchase!A46,Sales!$G$4:$G$60,Purchase!B46)))</f>
        <v/>
      </c>
      <c r="M46" s="2">
        <f>IF(Purchase!$E46="-","-",IF(OR(Purchase!$L46="sold",Purchase!$L46="-"),"-",Purchase!$L46*Purchase!$G46))</f>
        <v/>
      </c>
      <c r="N46">
        <f>SUMIFS(C$4:C46,D$4:D46,D46,E$4:E46,E46)</f>
        <v/>
      </c>
      <c r="V46" t="inlineStr">
        <is>
          <t>[Person_9] 20L Woman Backpack Total</t>
        </is>
      </c>
      <c r="X46" t="n">
        <v>7</v>
      </c>
      <c r="Y46" s="26" t="n">
        <v>2657388</v>
      </c>
      <c r="Z46" t="n">
        <v>3</v>
      </c>
      <c r="AA46" s="26" t="n">
        <v>1174943.5</v>
      </c>
    </row>
    <row r="47">
      <c r="A47" s="12" t="n">
        <v>45194</v>
      </c>
      <c r="B47" s="1" t="inlineStr">
        <is>
          <t>Shopee</t>
        </is>
      </c>
      <c r="C47" s="1" t="n">
        <v>2</v>
      </c>
      <c r="D47" s="4" t="inlineStr">
        <is>
          <t>[Person_11] 25L</t>
        </is>
      </c>
      <c r="E47" s="1" t="inlineStr">
        <is>
          <t>Khaki</t>
        </is>
      </c>
      <c r="F47" s="2" t="n">
        <v>860585</v>
      </c>
      <c r="G47" s="15">
        <f>IF(Purchase!$E47="-","-",F47/C47)</f>
        <v/>
      </c>
      <c r="H47" s="15">
        <f>IFERROR(VLOOKUP(D47,$P$4:$Q$23,2,FALSE),"-")</f>
        <v/>
      </c>
      <c r="I47" s="2">
        <f>IF(E47="-","-",(G47+50000)/0.95)</f>
        <v/>
      </c>
      <c r="J47" s="2">
        <f>IF(E47="-","-",I47-G47-(5%*I47))</f>
        <v/>
      </c>
      <c r="K47" s="17">
        <f>IFERROR(J47/G47,"-")</f>
        <v/>
      </c>
      <c r="L47" s="45">
        <f>IF(E47="-","-",IF(COUNTIFS(Sales!$D$4:$D$60,Purchase!D47,Sales!$E$4:$E$60,Purchase!E47,Sales!$F$4:$F$60,Purchase!A47,Sales!$G$4:$G$60,Purchase!B47)=C47,"sold",C47-COUNTIFS(Sales!$D$4:$D$60,Purchase!D47,Sales!$E$4:$E$60,Purchase!E47,Sales!$F$4:$F$60,Purchase!A47,Sales!$G$4:$G$60,Purchase!B47)))</f>
        <v/>
      </c>
      <c r="M47" s="2">
        <f>IF(Purchase!$E47="-","-",IF(OR(Purchase!$L47="sold",Purchase!$L47="-"),"-",Purchase!$L47*Purchase!$G47))</f>
        <v/>
      </c>
      <c r="N47">
        <f>SUMIFS(C$4:C47,D$4:D47,D47,E$4:E47,E47)</f>
        <v/>
      </c>
      <c r="V47" t="inlineStr">
        <is>
          <t>[Person_10] 20L Laptop Backpack</t>
        </is>
      </c>
      <c r="W47" t="inlineStr">
        <is>
          <t>Navy</t>
        </is>
      </c>
      <c r="X47" t="n">
        <v>1</v>
      </c>
      <c r="Y47" s="26" t="n">
        <v>179100</v>
      </c>
      <c r="Z47" t="n">
        <v>0</v>
      </c>
      <c r="AA47" s="26" t="n">
        <v>0</v>
      </c>
    </row>
    <row r="48">
      <c r="A48" s="12" t="n">
        <v>45195</v>
      </c>
      <c r="B48" s="1" t="inlineStr">
        <is>
          <t>Shopee</t>
        </is>
      </c>
      <c r="C48" s="1" t="n">
        <v>2</v>
      </c>
      <c r="D48" s="4" t="inlineStr">
        <is>
          <t>[Person_11] 25L</t>
        </is>
      </c>
      <c r="E48" s="1" t="inlineStr">
        <is>
          <t>Khaki</t>
        </is>
      </c>
      <c r="F48" s="2" t="n">
        <v>846095</v>
      </c>
      <c r="G48" s="15">
        <f>IF(Purchase!$E48="-","-",F48/C48)</f>
        <v/>
      </c>
      <c r="H48" s="15">
        <f>IFERROR(VLOOKUP(D48,$P$4:$Q$23,2,FALSE),"-")</f>
        <v/>
      </c>
      <c r="I48" s="2">
        <f>IF(E48="-","-",(G48+50000)/0.95)</f>
        <v/>
      </c>
      <c r="J48" s="2">
        <f>IF(E48="-","-",I48-G48-(5%*I48))</f>
        <v/>
      </c>
      <c r="K48" s="17">
        <f>IFERROR(J48/G48,"-")</f>
        <v/>
      </c>
      <c r="L48" s="45">
        <f>IF(E48="-","-",IF(COUNTIFS(Sales!$D$4:$D$60,Purchase!D48,Sales!$E$4:$E$60,Purchase!E48,Sales!$F$4:$F$60,Purchase!A48,Sales!$G$4:$G$60,Purchase!B48)=C48,"sold",C48-COUNTIFS(Sales!$D$4:$D$60,Purchase!D48,Sales!$E$4:$E$60,Purchase!E48,Sales!$F$4:$F$60,Purchase!A48,Sales!$G$4:$G$60,Purchase!B48)))</f>
        <v/>
      </c>
      <c r="M48" s="2">
        <f>IF(Purchase!$E48="-","-",IF(OR(Purchase!$L48="sold",Purchase!$L48="-"),"-",Purchase!$L48*Purchase!$G48))</f>
        <v/>
      </c>
      <c r="N48">
        <f>SUMIFS(C$4:C48,D$4:D48,D48,E$4:E48,E48)</f>
        <v/>
      </c>
      <c r="V48" t="inlineStr">
        <is>
          <t>[Person_10] 20L Laptop Backpack Total</t>
        </is>
      </c>
      <c r="X48" t="n">
        <v>1</v>
      </c>
      <c r="Y48" s="26" t="n">
        <v>179100</v>
      </c>
      <c r="Z48" t="n">
        <v>0</v>
      </c>
      <c r="AA48" s="26" t="n">
        <v>0</v>
      </c>
    </row>
    <row r="49">
      <c r="A49" s="12" t="n">
        <v>45196</v>
      </c>
      <c r="B49" s="1" t="inlineStr">
        <is>
          <t>Shopee</t>
        </is>
      </c>
      <c r="C49" s="1" t="n">
        <v>2</v>
      </c>
      <c r="D49" s="4" t="inlineStr">
        <is>
          <t>[Person_11] 25L</t>
        </is>
      </c>
      <c r="E49" s="1" t="inlineStr">
        <is>
          <t>Khaki</t>
        </is>
      </c>
      <c r="F49" s="2" t="n">
        <v>729000</v>
      </c>
      <c r="G49" s="15">
        <f>IF(Purchase!$E49="-","-",F49/C49)</f>
        <v/>
      </c>
      <c r="H49" s="15">
        <f>IFERROR(VLOOKUP(D49,$P$4:$Q$23,2,FALSE),"-")</f>
        <v/>
      </c>
      <c r="I49" s="2">
        <f>IF(E49="-","-",(G49+50000)/0.95)</f>
        <v/>
      </c>
      <c r="J49" s="2">
        <f>IF(E49="-","-",I49-G49-(5%*I49))</f>
        <v/>
      </c>
      <c r="K49" s="17">
        <f>IFERROR(J49/G49,"-")</f>
        <v/>
      </c>
      <c r="L49" s="45">
        <f>IF(E49="-","-",IF(COUNTIFS(Sales!$D$4:$D$60,Purchase!D49,Sales!$E$4:$E$60,Purchase!E49,Sales!$F$4:$F$60,Purchase!A49,Sales!$G$4:$G$60,Purchase!B49)=C49,"sold",C49-COUNTIFS(Sales!$D$4:$D$60,Purchase!D49,Sales!$E$4:$E$60,Purchase!E49,Sales!$F$4:$F$60,Purchase!A49,Sales!$G$4:$G$60,Purchase!B49)))</f>
        <v/>
      </c>
      <c r="M49" s="2">
        <f>IF(Purchase!$E49="-","-",IF(OR(Purchase!$L49="sold",Purchase!$L49="-"),"-",Purchase!$L49*Purchase!$G49))</f>
        <v/>
      </c>
      <c r="N49">
        <f>SUMIFS(C$4:C49,D$4:D49,D49,E$4:E49,E49)</f>
        <v/>
      </c>
      <c r="V49" t="inlineStr">
        <is>
          <t>Plastik packing</t>
        </is>
      </c>
      <c r="W49" t="inlineStr">
        <is>
          <t>-</t>
        </is>
      </c>
      <c r="X49" t="n">
        <v>1</v>
      </c>
      <c r="Y49" s="26" t="n">
        <v>38720</v>
      </c>
      <c r="Z49" t="n">
        <v>0</v>
      </c>
      <c r="AA49" s="26" t="n">
        <v>0</v>
      </c>
    </row>
    <row r="50">
      <c r="A50" s="12" t="n">
        <v>45202</v>
      </c>
      <c r="B50" s="1" t="inlineStr">
        <is>
          <t>Lazada</t>
        </is>
      </c>
      <c r="C50" s="1" t="n">
        <v>1</v>
      </c>
      <c r="D50" s="14" t="inlineStr">
        <is>
          <t>Eiger Starter Daypack 21L</t>
        </is>
      </c>
      <c r="E50" s="1" t="inlineStr">
        <is>
          <t>Blue</t>
        </is>
      </c>
      <c r="F50" s="2" t="n">
        <v>278152</v>
      </c>
      <c r="G50" s="15">
        <f>IF(Purchase!$E50="-","-",F50/C50)</f>
        <v/>
      </c>
      <c r="H50" s="15">
        <f>IFERROR(VLOOKUP(D50,$P$4:$Q$23,2,FALSE),"-")</f>
        <v/>
      </c>
      <c r="I50" s="2">
        <f>IF(E50="-","-",(G50+50000)/0.95)</f>
        <v/>
      </c>
      <c r="J50" s="2">
        <f>IF(E50="-","-",I50-G50-(5%*I50))</f>
        <v/>
      </c>
      <c r="K50" s="17">
        <f>IFERROR(J50/G50,"-")</f>
        <v/>
      </c>
      <c r="L50" s="45">
        <f>IF(E50="-","-",IF(COUNTIFS(Sales!$D$4:$D$60,Purchase!D50,Sales!$E$4:$E$60,Purchase!E50,Sales!$F$4:$F$60,Purchase!A50,Sales!$G$4:$G$60,Purchase!B50)=C50,"sold",C50-COUNTIFS(Sales!$D$4:$D$60,Purchase!D50,Sales!$E$4:$E$60,Purchase!E50,Sales!$F$4:$F$60,Purchase!A50,Sales!$G$4:$G$60,Purchase!B50)))</f>
        <v/>
      </c>
      <c r="M50" s="2">
        <f>IF(Purchase!$E50="-","-",IF(OR(Purchase!$L50="sold",Purchase!$L50="-"),"-",Purchase!$L50*Purchase!$G50))</f>
        <v/>
      </c>
      <c r="N50">
        <f>SUMIFS(C$4:C50,D$4:D50,D50,E$4:E50,E50)</f>
        <v/>
      </c>
      <c r="V50" t="inlineStr">
        <is>
          <t>Plastik packing Total</t>
        </is>
      </c>
      <c r="X50" t="n">
        <v>1</v>
      </c>
      <c r="Y50" s="26" t="n">
        <v>38720</v>
      </c>
      <c r="Z50" t="n">
        <v>0</v>
      </c>
      <c r="AA50" s="26" t="n">
        <v>0</v>
      </c>
    </row>
    <row r="51">
      <c r="A51" s="12" t="n">
        <v>45208</v>
      </c>
      <c r="B51" s="1" t="inlineStr">
        <is>
          <t>Shopee</t>
        </is>
      </c>
      <c r="C51" s="1" t="n">
        <v>4</v>
      </c>
      <c r="D51" s="14" t="inlineStr">
        <is>
          <t>[Person_6] 15 Laptop Backpack</t>
        </is>
      </c>
      <c r="E51" s="1" t="inlineStr">
        <is>
          <t>Black</t>
        </is>
      </c>
      <c r="F51" s="2" t="n">
        <v>914270</v>
      </c>
      <c r="G51" s="15">
        <f>IF(Purchase!$E51="-","-",F51/C51)</f>
        <v/>
      </c>
      <c r="H51" s="15">
        <f>IFERROR(VLOOKUP(D51,$P$4:$Q$23,2,FALSE),"-")</f>
        <v/>
      </c>
      <c r="I51" s="2">
        <f>IF(E51="-","-",(G51+50000)/0.95)</f>
        <v/>
      </c>
      <c r="J51" s="2">
        <f>IF(E51="-","-",I51-G51-(5%*I51))</f>
        <v/>
      </c>
      <c r="K51" s="17">
        <f>IFERROR(J51/G51,"-")</f>
        <v/>
      </c>
      <c r="L51" s="45">
        <f>IF(E51="-","-",IF(COUNTIFS(Sales!$D$4:$D$60,Purchase!D51,Sales!$E$4:$E$60,Purchase!E51,Sales!$F$4:$F$60,Purchase!A51,Sales!$G$4:$G$60,Purchase!B51)=C51,"sold",C51-COUNTIFS(Sales!$D$4:$D$60,Purchase!D51,Sales!$E$4:$E$60,Purchase!E51,Sales!$F$4:$F$60,Purchase!A51,Sales!$G$4:$G$60,Purchase!B51)))</f>
        <v/>
      </c>
      <c r="M51" s="2">
        <f>IF(Purchase!$E51="-","-",IF(OR(Purchase!$L51="sold",Purchase!$L51="-"),"-",Purchase!$L51*Purchase!$G51))</f>
        <v/>
      </c>
      <c r="N51">
        <f>SUMIFS(C$4:C51,D$4:D51,D51,E$4:E51,E51)</f>
        <v/>
      </c>
      <c r="V51" t="inlineStr">
        <is>
          <t>Grand Total</t>
        </is>
      </c>
      <c r="X51" t="n">
        <v>110</v>
      </c>
      <c r="Y51" s="26" t="n">
        <v>36293668.66666666</v>
      </c>
      <c r="Z51" t="n">
        <v>54</v>
      </c>
      <c r="AA51" s="26" t="n">
        <v>18823136.85737583</v>
      </c>
    </row>
    <row r="52">
      <c r="A52" s="12" t="n">
        <v>45209</v>
      </c>
      <c r="B52" s="1" t="inlineStr">
        <is>
          <t>Lazada</t>
        </is>
      </c>
      <c r="C52" s="1" t="n">
        <v>2</v>
      </c>
      <c r="D52" s="4" t="inlineStr">
        <is>
          <t>[Person_9] 20L Woman Backpack</t>
        </is>
      </c>
      <c r="E52" s="1" t="inlineStr">
        <is>
          <t>Burgundy</t>
        </is>
      </c>
      <c r="F52" s="2" t="n">
        <v>707590</v>
      </c>
      <c r="G52" s="15">
        <f>IF(Purchase!$E52="-","-",F52/C52)</f>
        <v/>
      </c>
      <c r="H52" s="15">
        <f>IFERROR(VLOOKUP(D52,$P$4:$Q$23,2,FALSE),"-")</f>
        <v/>
      </c>
      <c r="I52" s="2">
        <f>IF(E52="-","-",(G52+50000)/0.95)</f>
        <v/>
      </c>
      <c r="J52" s="2">
        <f>IF(E52="-","-",I52-G52-(5%*I52))</f>
        <v/>
      </c>
      <c r="K52" s="17">
        <f>IFERROR(J52/G52,"-")</f>
        <v/>
      </c>
      <c r="L52" s="45">
        <f>IF(E52="-","-",IF(COUNTIFS(Sales!$D$4:$D$60,Purchase!D52,Sales!$E$4:$E$60,Purchase!E52,Sales!$F$4:$F$60,Purchase!A52,Sales!$G$4:$G$60,Purchase!B52)=C52,"sold",C52-COUNTIFS(Sales!$D$4:$D$60,Purchase!D52,Sales!$E$4:$E$60,Purchase!E52,Sales!$F$4:$F$60,Purchase!A52,Sales!$G$4:$G$60,Purchase!B52)))</f>
        <v/>
      </c>
      <c r="M52" s="2">
        <f>IF(Purchase!$E52="-","-",IF(OR(Purchase!$L52="sold",Purchase!$L52="-"),"-",Purchase!$L52*Purchase!$G52))</f>
        <v/>
      </c>
      <c r="N52">
        <f>SUMIFS(C$4:C52,D$4:D52,D52,E$4:E52,E52)</f>
        <v/>
      </c>
    </row>
    <row r="53">
      <c r="A53" s="12" t="n">
        <v>45209</v>
      </c>
      <c r="B53" s="1" t="inlineStr">
        <is>
          <t>Lazada</t>
        </is>
      </c>
      <c r="C53" s="1" t="n">
        <v>2</v>
      </c>
      <c r="D53" s="4" t="inlineStr">
        <is>
          <t>Eiger Starter Daypack 16L</t>
        </is>
      </c>
      <c r="E53" s="1" t="inlineStr">
        <is>
          <t>Blue</t>
        </is>
      </c>
      <c r="F53" s="2" t="n">
        <v>476457</v>
      </c>
      <c r="G53" s="15">
        <f>IF(Purchase!$E53="-","-",F53/C53)</f>
        <v/>
      </c>
      <c r="H53" s="2">
        <f>IFERROR(VLOOKUP(D53,$P$4:$Q$23,2,FALSE),"-")</f>
        <v/>
      </c>
      <c r="I53" s="2">
        <f>IF(E53="-","-",(G53+50000)/0.95)</f>
        <v/>
      </c>
      <c r="J53" s="2">
        <f>IF(E53="-","-",I53-G53-(5%*I53))</f>
        <v/>
      </c>
      <c r="K53" s="17">
        <f>IFERROR(J53/G53,"-")</f>
        <v/>
      </c>
      <c r="L53" s="45">
        <f>IF(E53="-","-",IF(COUNTIFS(Sales!$D$4:$D$60,Purchase!D53,Sales!$E$4:$E$60,Purchase!E53,Sales!$F$4:$F$60,Purchase!A53,Sales!$G$4:$G$60,Purchase!B53)=C53,"sold",C53-COUNTIFS(Sales!$D$4:$D$60,Purchase!D53,Sales!$E$4:$E$60,Purchase!E53,Sales!$F$4:$F$60,Purchase!A53,Sales!$G$4:$G$60,Purchase!B53)))</f>
        <v/>
      </c>
      <c r="M53" s="2">
        <f>IF(Purchase!$E53="-","-",IF(OR(Purchase!$L53="sold",Purchase!$L53="-"),"-",Purchase!$L53*Purchase!$G53))</f>
        <v/>
      </c>
      <c r="N53">
        <f>SUMIFS(C$4:C53,D$4:D53,D53,E$4:E53,E53)</f>
        <v/>
      </c>
    </row>
    <row r="54">
      <c r="A54" s="12" t="n">
        <v>45209</v>
      </c>
      <c r="B54" s="1" t="inlineStr">
        <is>
          <t>Lazada</t>
        </is>
      </c>
      <c r="C54" s="1" t="n">
        <v>1</v>
      </c>
      <c r="D54" s="4" t="inlineStr">
        <is>
          <t>[Person_5] Pack 20L Backpack</t>
        </is>
      </c>
      <c r="E54" s="1" t="inlineStr">
        <is>
          <t>Green</t>
        </is>
      </c>
      <c r="F54" s="2" t="n">
        <v>301228</v>
      </c>
      <c r="G54" s="15">
        <f>IF(Purchase!$E54="-","-",F54/C54)</f>
        <v/>
      </c>
      <c r="H54" s="2">
        <f>IFERROR(VLOOKUP(D54,$P$4:$Q$23,2,FALSE),"-")</f>
        <v/>
      </c>
      <c r="I54" s="2">
        <f>IF(E54="-","-",(G54+50000)/0.95)</f>
        <v/>
      </c>
      <c r="J54" s="2">
        <f>IF(E54="-","-",I54-G54-(5%*I54))</f>
        <v/>
      </c>
      <c r="K54" s="17">
        <f>IFERROR(J54/G54,"-")</f>
        <v/>
      </c>
      <c r="L54" s="45">
        <f>IF(E54="-","-",IF(COUNTIFS(Sales!$D$4:$D$60,Purchase!D54,Sales!$E$4:$E$60,Purchase!E54,Sales!$F$4:$F$60,Purchase!A54,Sales!$G$4:$G$60,Purchase!B54)=C54,"sold",C54-COUNTIFS(Sales!$D$4:$D$60,Purchase!D54,Sales!$E$4:$E$60,Purchase!E54,Sales!$F$4:$F$60,Purchase!A54,Sales!$G$4:$G$60,Purchase!B54)))</f>
        <v/>
      </c>
      <c r="M54" s="2">
        <f>IF(Purchase!$E54="-","-",IF(OR(Purchase!$L54="sold",Purchase!$L54="-"),"-",Purchase!$L54*Purchase!$G54))</f>
        <v/>
      </c>
      <c r="N54">
        <f>SUMIFS(C$4:C54,D$4:D54,D54,E$4:E54,E54)</f>
        <v/>
      </c>
    </row>
    <row r="55">
      <c r="A55" s="12" t="n">
        <v>45213</v>
      </c>
      <c r="B55" s="1" t="inlineStr">
        <is>
          <t>Lazada</t>
        </is>
      </c>
      <c r="C55" s="1" t="n">
        <v>1</v>
      </c>
      <c r="D55" s="4" t="inlineStr">
        <is>
          <t>[Person_5] Pack 20L Backpack</t>
        </is>
      </c>
      <c r="E55" s="1" t="inlineStr">
        <is>
          <t>Green</t>
        </is>
      </c>
      <c r="F55" s="2" t="n">
        <v>276604.6719817768</v>
      </c>
      <c r="G55" s="15">
        <f>IF(Purchase!$E55="-","-",F55/C55)</f>
        <v/>
      </c>
      <c r="H55" s="2">
        <f>IFERROR(VLOOKUP(D55,$P$4:$Q$23,2,FALSE),"-")</f>
        <v/>
      </c>
      <c r="I55" s="2">
        <f>IF(E55="-","-",(G55+50000)/0.95)</f>
        <v/>
      </c>
      <c r="J55" s="2">
        <f>IF(E55="-","-",I55-G55-(5%*I55))</f>
        <v/>
      </c>
      <c r="K55" s="17">
        <f>IFERROR(J55/G55,"-")</f>
        <v/>
      </c>
      <c r="L55" s="45">
        <f>IF(E55="-","-",IF(COUNTIFS(Sales!$D$4:$D$60,Purchase!D55,Sales!$E$4:$E$60,Purchase!E55,Sales!$F$4:$F$60,Purchase!A55,Sales!$G$4:$G$60,Purchase!B55)=C55,"sold",C55-COUNTIFS(Sales!$D$4:$D$60,Purchase!D55,Sales!$E$4:$E$60,Purchase!E55,Sales!$F$4:$F$60,Purchase!A55,Sales!$G$4:$G$60,Purchase!B55)))</f>
        <v/>
      </c>
      <c r="M55" s="2">
        <f>IF(Purchase!$E55="-","-",IF(OR(Purchase!$L55="sold",Purchase!$L55="-"),"-",Purchase!$L55*Purchase!$G55))</f>
        <v/>
      </c>
      <c r="N55">
        <f>SUMIFS(C$4:C55,D$4:D55,D55,E$4:E55,E55)</f>
        <v/>
      </c>
    </row>
    <row r="56">
      <c r="A56" s="12" t="n">
        <v>45213</v>
      </c>
      <c r="B56" s="1" t="inlineStr">
        <is>
          <t>Lazada</t>
        </is>
      </c>
      <c r="C56" s="1" t="n">
        <v>1</v>
      </c>
      <c r="D56" s="4" t="inlineStr">
        <is>
          <t>Eiger Starter Daypack 16L</t>
        </is>
      </c>
      <c r="E56" s="1" t="inlineStr">
        <is>
          <t>Blue</t>
        </is>
      </c>
      <c r="F56" s="2" t="n">
        <v>231471.0425208808</v>
      </c>
      <c r="G56" s="15">
        <f>IF(Purchase!$E56="-","-",F56/C56)</f>
        <v/>
      </c>
      <c r="H56" s="2">
        <f>IFERROR(VLOOKUP(D56,$P$4:$Q$23,2,FALSE),"-")</f>
        <v/>
      </c>
      <c r="I56" s="2">
        <f>IF(E56="-","-",(G56+50000)/0.95)</f>
        <v/>
      </c>
      <c r="J56" s="2">
        <f>IF(E56="-","-",I56-G56-(5%*I56))</f>
        <v/>
      </c>
      <c r="K56" s="17">
        <f>IFERROR(J56/G56,"-")</f>
        <v/>
      </c>
      <c r="L56" s="45">
        <f>IF(E56="-","-",IF(COUNTIFS(Sales!$D$4:$D$60,Purchase!D56,Sales!$E$4:$E$60,Purchase!E56,Sales!$F$4:$F$60,Purchase!A56,Sales!$G$4:$G$60,Purchase!B56)=C56,"sold",C56-COUNTIFS(Sales!$D$4:$D$60,Purchase!D56,Sales!$E$4:$E$60,Purchase!E56,Sales!$F$4:$F$60,Purchase!A56,Sales!$G$4:$G$60,Purchase!B56)))</f>
        <v/>
      </c>
      <c r="M56" s="2">
        <f>IF(Purchase!$E56="-","-",IF(OR(Purchase!$L56="sold",Purchase!$L56="-"),"-",Purchase!$L56*Purchase!$G56))</f>
        <v/>
      </c>
      <c r="N56">
        <f>SUMIFS(C$4:C56,D$4:D56,D56,E$4:E56,E56)</f>
        <v/>
      </c>
    </row>
    <row r="57">
      <c r="A57" s="12" t="n">
        <v>45213</v>
      </c>
      <c r="B57" s="1" t="inlineStr">
        <is>
          <t>Lazada</t>
        </is>
      </c>
      <c r="C57" s="1" t="n">
        <v>1</v>
      </c>
      <c r="D57" s="4" t="inlineStr">
        <is>
          <t>[Person_9] 20L Woman Backpack</t>
        </is>
      </c>
      <c r="E57" s="1" t="inlineStr">
        <is>
          <t>Burgundy</t>
        </is>
      </c>
      <c r="F57" s="2" t="n">
        <v>341081.2854973425</v>
      </c>
      <c r="G57" s="15">
        <f>IF(Purchase!$E57="-","-",F57/C57)</f>
        <v/>
      </c>
      <c r="H57" s="2">
        <f>IFERROR(VLOOKUP(D57,$P$4:$Q$23,2,FALSE),"-")</f>
        <v/>
      </c>
      <c r="I57" s="2">
        <f>IF(E57="-","-",(G57+50000)/0.95)</f>
        <v/>
      </c>
      <c r="J57" s="2">
        <f>IF(E57="-","-",I57-G57-(5%*I57))</f>
        <v/>
      </c>
      <c r="K57" s="17">
        <f>IFERROR(J57/G57,"-")</f>
        <v/>
      </c>
      <c r="L57" s="45">
        <f>IF(E57="-","-",IF(COUNTIFS(Sales!$D$4:$D$60,Purchase!D57,Sales!$E$4:$E$60,Purchase!E57,Sales!$F$4:$F$60,Purchase!A57,Sales!$G$4:$G$60,Purchase!B57)=C57,"sold",C57-COUNTIFS(Sales!$D$4:$D$60,Purchase!D57,Sales!$E$4:$E$60,Purchase!E57,Sales!$F$4:$F$60,Purchase!A57,Sales!$G$4:$G$60,Purchase!B57)))</f>
        <v/>
      </c>
      <c r="M57" s="2">
        <f>IF(Purchase!$E57="-","-",IF(OR(Purchase!$L57="sold",Purchase!$L57="-"),"-",Purchase!$L57*Purchase!$G57))</f>
        <v/>
      </c>
      <c r="N57">
        <f>SUMIFS(C$4:C57,D$4:D57,D57,E$4:E57,E57)</f>
        <v/>
      </c>
    </row>
    <row r="58"/>
    <row r="59"/>
    <row r="60"/>
    <row r="61"/>
    <row r="62">
      <c r="F62" s="4" t="n"/>
      <c r="J62" s="49" t="n"/>
    </row>
    <row r="63">
      <c r="F63" s="4" t="n"/>
      <c r="J63" s="49" t="n"/>
    </row>
    <row r="64">
      <c r="F64" s="4" t="n"/>
      <c r="J64" s="49" t="n"/>
    </row>
  </sheetData>
  <autoFilter ref="A3:T57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8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Q4" sqref="Q4"/>
    </sheetView>
  </sheetViews>
  <sheetFormatPr baseColWidth="8" defaultColWidth="9.140625" defaultRowHeight="15"/>
  <cols>
    <col width="5.42578125" customWidth="1" style="20" min="1" max="1"/>
    <col width="12" customWidth="1" style="25" min="2" max="3"/>
    <col width="38.5703125" customWidth="1" style="19" min="4" max="4"/>
    <col width="9.140625" customWidth="1" style="20" min="5" max="5"/>
    <col width="17.5703125" bestFit="1" customWidth="1" style="20" min="6" max="6"/>
    <col width="17.5703125" customWidth="1" style="20" min="7" max="7"/>
    <col width="15.28515625" customWidth="1" style="21" min="8" max="8"/>
    <col width="14" customWidth="1" style="21" min="9" max="9"/>
    <col width="9.140625" customWidth="1" style="21" min="10" max="10"/>
    <col width="11.5703125" customWidth="1" style="21" min="11" max="11"/>
    <col width="12.140625" customWidth="1" style="21" min="12" max="12"/>
    <col width="12" bestFit="1" customWidth="1" style="20" min="13" max="13"/>
    <col width="10.85546875" customWidth="1" style="22" min="14" max="14"/>
    <col width="9.140625" customWidth="1" style="20" min="15" max="15"/>
    <col width="11.5703125" customWidth="1" style="20" min="16" max="16"/>
    <col width="18.7109375" bestFit="1" customWidth="1" style="20" min="17" max="17"/>
    <col width="9.140625" customWidth="1" style="20" min="18" max="16384"/>
  </cols>
  <sheetData>
    <row r="1">
      <c r="A1" s="18" t="inlineStr">
        <is>
          <t>[Person_20]</t>
        </is>
      </c>
      <c r="B1" s="18" t="n"/>
      <c r="C1" s="18" t="n"/>
    </row>
    <row r="2" ht="8.1" customHeight="1">
      <c r="B2" s="23" t="n"/>
      <c r="C2" s="23" t="n"/>
    </row>
    <row r="3" customFormat="1" s="24">
      <c r="A3" s="35" t="inlineStr">
        <is>
          <t>No</t>
        </is>
      </c>
      <c r="B3" s="36" t="inlineStr">
        <is>
          <t>Sold Date</t>
        </is>
      </c>
      <c r="C3" s="36" t="inlineStr">
        <is>
          <t>From</t>
        </is>
      </c>
      <c r="D3" s="37" t="inlineStr">
        <is>
          <t>Items</t>
        </is>
      </c>
      <c r="E3" s="37" t="inlineStr">
        <is>
          <t>Color</t>
        </is>
      </c>
      <c r="F3" s="37" t="inlineStr">
        <is>
          <t>Purchase Date</t>
        </is>
      </c>
      <c r="G3" s="37" t="inlineStr">
        <is>
          <t>Purchase Source</t>
        </is>
      </c>
      <c r="H3" s="38" t="inlineStr">
        <is>
          <t>Purchase Price</t>
        </is>
      </c>
      <c r="I3" s="38" t="inlineStr">
        <is>
          <t>Selling Price</t>
        </is>
      </c>
      <c r="J3" s="38" t="inlineStr">
        <is>
          <t>Profit</t>
        </is>
      </c>
      <c r="K3" s="38" t="inlineStr">
        <is>
          <t>Deduction</t>
        </is>
      </c>
      <c r="L3" s="38" t="inlineStr">
        <is>
          <t>Nett Profit</t>
        </is>
      </c>
      <c r="M3" s="37" t="inlineStr">
        <is>
          <t>Reason</t>
        </is>
      </c>
      <c r="N3" s="39" t="inlineStr">
        <is>
          <t>Profit %</t>
        </is>
      </c>
      <c r="P3" s="24" t="inlineStr">
        <is>
          <t>Cumulative</t>
        </is>
      </c>
      <c r="Q3" s="24" t="inlineStr">
        <is>
          <t>Purchase Date</t>
        </is>
      </c>
      <c r="R3" s="24" t="inlineStr">
        <is>
          <t>check</t>
        </is>
      </c>
    </row>
    <row r="4">
      <c r="A4" s="20" t="n">
        <v>1</v>
      </c>
      <c r="B4" s="12" t="n">
        <v>45112</v>
      </c>
      <c r="C4" s="25" t="inlineStr">
        <is>
          <t>Shopee</t>
        </is>
      </c>
      <c r="D4" s="19" t="inlineStr">
        <is>
          <t>Eiger Starter Daypack 16L</t>
        </is>
      </c>
      <c r="E4" s="20" t="inlineStr">
        <is>
          <t>Olive</t>
        </is>
      </c>
      <c r="F4" s="12" t="n">
        <v>45109</v>
      </c>
      <c r="G4" s="12">
        <f t="array" ref="G4">INDEX(Purchase!$B$4:$B$51,MATCH(F4&amp;Sales!D4&amp;Sales!E4,Purchase!$A$4:$A$51&amp;Purchase!$D$4:$D$51&amp;Purchase!$E$4:$E$51,0))</f>
        <v/>
      </c>
      <c r="H4" s="21">
        <f t="array" ref="H4">INDEX(Purchase!$G$4:$G$51,MATCH(Sales!D4&amp;Sales!E4&amp;Sales!F4&amp;G4,Purchase!$D$4:$D$51&amp;Purchase!$E$4:$E$51&amp;Purchase!$A$4:$A$51&amp;Purchase!$B$4:$B$51,0))</f>
        <v/>
      </c>
      <c r="I4" s="21" t="n">
        <v>295000</v>
      </c>
      <c r="J4" s="21">
        <f>I4-H4</f>
        <v/>
      </c>
      <c r="K4" s="21" t="n">
        <v>0</v>
      </c>
      <c r="L4" s="21">
        <f>J4-K4</f>
        <v/>
      </c>
      <c r="M4" s="21" t="inlineStr">
        <is>
          <t>Full Profit</t>
        </is>
      </c>
      <c r="N4" s="22">
        <f>(I4-H4)/H4</f>
        <v/>
      </c>
      <c r="P4" s="20">
        <f>COUNTIFS(D$4:D4,D4,E$4:E4,E4)</f>
        <v/>
      </c>
      <c r="Q4" s="51">
        <f>INDEX(Purchase!A$4:A$58,_xlfn.AGGREGATE(15,6,(ROW(Purchase!A$4:A$58)-ROW(Purchase!A$3))/(Purchase!D$4:D$58=D4)/(Purchase!E$4:E$58=E4)/(Purchase!N$4:N$57&gt;=P4),1))</f>
        <v/>
      </c>
      <c r="R4" s="20">
        <f>Q4=F4</f>
        <v/>
      </c>
    </row>
    <row r="5">
      <c r="A5" s="20" t="n">
        <v>2</v>
      </c>
      <c r="B5" s="12" t="n">
        <v>45112</v>
      </c>
      <c r="C5" s="25" t="inlineStr">
        <is>
          <t>Shopee</t>
        </is>
      </c>
      <c r="D5" s="19" t="inlineStr">
        <is>
          <t>[Person_2] Backpack 20L</t>
        </is>
      </c>
      <c r="E5" s="20" t="inlineStr">
        <is>
          <t>Black</t>
        </is>
      </c>
      <c r="F5" s="12" t="n">
        <v>45110</v>
      </c>
      <c r="G5" s="12">
        <f t="array" ref="G5">INDEX(Purchase!$B$4:$B$51,MATCH(F5&amp;Sales!D5&amp;Sales!E5,Purchase!$A$4:$A$51&amp;Purchase!$D$4:$D$51&amp;Purchase!$E$4:$E$51,0))</f>
        <v/>
      </c>
      <c r="H5" s="21">
        <f t="array" ref="H5">INDEX(Purchase!$G$4:$G$51,MATCH(Sales!D5&amp;Sales!E5&amp;Sales!F5&amp;G5,Purchase!$D$4:$D$51&amp;Purchase!$E$4:$E$51&amp;Purchase!$A$4:$A$51&amp;Purchase!$B$4:$B$51,0))</f>
        <v/>
      </c>
      <c r="I5" s="21" t="n">
        <v>360000</v>
      </c>
      <c r="J5" s="21">
        <f>I5-H5</f>
        <v/>
      </c>
      <c r="K5" s="21" t="n">
        <v>0</v>
      </c>
      <c r="L5" s="21">
        <f>J5-K5</f>
        <v/>
      </c>
      <c r="M5" s="21" t="inlineStr">
        <is>
          <t>Full Profit</t>
        </is>
      </c>
      <c r="N5" s="22">
        <f>(I5-H5)/H5</f>
        <v/>
      </c>
      <c r="P5" s="20">
        <f>COUNTIFS(D$4:D5,D5,E$4:E5,E5)</f>
        <v/>
      </c>
      <c r="Q5" s="51">
        <f>INDEX(Purchase!A$4:A$58,_xlfn.AGGREGATE(15,6,(ROW(Purchase!A$4:A$58)-ROW(Purchase!A$3))/(Purchase!D$4:D$58=D5)/(Purchase!E$4:E$58=E5)/(Purchase!N$4:N$57&gt;=P5),1))</f>
        <v/>
      </c>
      <c r="R5" s="20">
        <f>Q5=F5</f>
        <v/>
      </c>
    </row>
    <row r="6">
      <c r="A6" s="20" t="n">
        <v>3</v>
      </c>
      <c r="B6" s="12" t="n">
        <v>45114</v>
      </c>
      <c r="C6" s="25" t="inlineStr">
        <is>
          <t>Shopee</t>
        </is>
      </c>
      <c r="D6" s="19" t="inlineStr">
        <is>
          <t>Eiger Starter Daypack 16L</t>
        </is>
      </c>
      <c r="E6" s="20" t="inlineStr">
        <is>
          <t>Olive</t>
        </is>
      </c>
      <c r="F6" s="12" t="n">
        <v>45109</v>
      </c>
      <c r="G6" s="12">
        <f t="array" ref="G6">INDEX(Purchase!$B$4:$B$51,MATCH(F6&amp;Sales!D6&amp;Sales!E6,Purchase!$A$4:$A$51&amp;Purchase!$D$4:$D$51&amp;Purchase!$E$4:$E$51,0))</f>
        <v/>
      </c>
      <c r="H6" s="21">
        <f t="array" ref="H6">INDEX(Purchase!$G$4:$G$51,MATCH(Sales!D6&amp;Sales!E6&amp;Sales!F6&amp;G6,Purchase!$D$4:$D$51&amp;Purchase!$E$4:$E$51&amp;Purchase!$A$4:$A$51&amp;Purchase!$B$4:$B$51,0))</f>
        <v/>
      </c>
      <c r="I6" s="21" t="n">
        <v>295000</v>
      </c>
      <c r="J6" s="21">
        <f>I6-H6</f>
        <v/>
      </c>
      <c r="K6" s="21" t="n">
        <v>0</v>
      </c>
      <c r="L6" s="21">
        <f>J6-K6</f>
        <v/>
      </c>
      <c r="M6" s="21" t="inlineStr">
        <is>
          <t>Full Profit</t>
        </is>
      </c>
      <c r="N6" s="22">
        <f>(I6-H6)/H6</f>
        <v/>
      </c>
      <c r="P6" s="20">
        <f>COUNTIFS(D$4:D6,D6,E$4:E6,E6)</f>
        <v/>
      </c>
      <c r="Q6" s="51">
        <f>INDEX(Purchase!A$4:A$58,_xlfn.AGGREGATE(15,6,(ROW(Purchase!A$4:A$58)-ROW(Purchase!A$3))/(Purchase!D$4:D$58=D6)/(Purchase!E$4:E$58=E6)/(Purchase!N$4:N$57&gt;=P6),1))</f>
        <v/>
      </c>
      <c r="R6" s="20">
        <f>Q6=F6</f>
        <v/>
      </c>
    </row>
    <row r="7">
      <c r="A7" s="20" t="n">
        <v>4</v>
      </c>
      <c r="B7" s="12" t="n">
        <v>45116</v>
      </c>
      <c r="C7" s="25" t="inlineStr">
        <is>
          <t>Shopee</t>
        </is>
      </c>
      <c r="D7" s="19" t="inlineStr">
        <is>
          <t>[Person_2] Backpack 20L</t>
        </is>
      </c>
      <c r="E7" s="20" t="inlineStr">
        <is>
          <t>Black</t>
        </is>
      </c>
      <c r="F7" s="12" t="n">
        <v>45111</v>
      </c>
      <c r="G7" s="12">
        <f t="array" ref="G7">INDEX(Purchase!$B$4:$B$51,MATCH(F7&amp;Sales!D7&amp;Sales!E7,Purchase!$A$4:$A$51&amp;Purchase!$D$4:$D$51&amp;Purchase!$E$4:$E$51,0))</f>
        <v/>
      </c>
      <c r="H7" s="21">
        <f t="array" ref="H7">INDEX(Purchase!$G$4:$G$51,MATCH(Sales!D7&amp;Sales!E7&amp;Sales!F7&amp;G7,Purchase!$D$4:$D$51&amp;Purchase!$E$4:$E$51&amp;Purchase!$A$4:$A$51&amp;Purchase!$B$4:$B$51,0))</f>
        <v/>
      </c>
      <c r="I7" s="21" t="n">
        <v>370000</v>
      </c>
      <c r="J7" s="21">
        <f>I7-H7</f>
        <v/>
      </c>
      <c r="K7" s="21" t="n">
        <v>0</v>
      </c>
      <c r="L7" s="21">
        <f>J7-K7</f>
        <v/>
      </c>
      <c r="M7" s="21" t="inlineStr">
        <is>
          <t>Full Profit</t>
        </is>
      </c>
      <c r="N7" s="22">
        <f>(I7-H7)/H7</f>
        <v/>
      </c>
      <c r="P7" s="20">
        <f>COUNTIFS(D$4:D7,D7,E$4:E7,E7)</f>
        <v/>
      </c>
      <c r="Q7" s="51">
        <f>INDEX(Purchase!A$4:A$58,_xlfn.AGGREGATE(15,6,(ROW(Purchase!A$4:A$58)-ROW(Purchase!A$3))/(Purchase!D$4:D$58=D7)/(Purchase!E$4:E$58=E7)/(Purchase!N$4:N$57&gt;=P7),1))</f>
        <v/>
      </c>
      <c r="R7" s="20">
        <f>Q7=F7</f>
        <v/>
      </c>
    </row>
    <row r="8">
      <c r="A8" s="20" t="n">
        <v>5</v>
      </c>
      <c r="B8" s="12" t="n">
        <v>45117</v>
      </c>
      <c r="C8" s="25" t="inlineStr">
        <is>
          <t>Shopee</t>
        </is>
      </c>
      <c r="D8" s="19" t="inlineStr">
        <is>
          <t>[Person_2] Backpack 20L</t>
        </is>
      </c>
      <c r="E8" s="20" t="inlineStr">
        <is>
          <t>Black</t>
        </is>
      </c>
      <c r="F8" s="12" t="n">
        <v>45114</v>
      </c>
      <c r="G8" s="12">
        <f t="array" ref="G8">INDEX(Purchase!$B$4:$B$51,MATCH(F8&amp;Sales!D8&amp;Sales!E8,Purchase!$A$4:$A$51&amp;Purchase!$D$4:$D$51&amp;Purchase!$E$4:$E$51,0))</f>
        <v/>
      </c>
      <c r="H8" s="21">
        <f t="array" ref="H8">INDEX(Purchase!$G$4:$G$51,MATCH(Sales!D8&amp;Sales!E8&amp;Sales!F8&amp;G8,Purchase!$D$4:$D$51&amp;Purchase!$E$4:$E$51&amp;Purchase!$A$4:$A$51&amp;Purchase!$B$4:$B$51,0))</f>
        <v/>
      </c>
      <c r="I8" s="21" t="n">
        <v>375000</v>
      </c>
      <c r="J8" s="21">
        <f>I8-H8</f>
        <v/>
      </c>
      <c r="K8" s="21" t="n">
        <v>0</v>
      </c>
      <c r="L8" s="21">
        <f>J8-K8</f>
        <v/>
      </c>
      <c r="M8" s="21" t="inlineStr">
        <is>
          <t>Full Profit</t>
        </is>
      </c>
      <c r="N8" s="22">
        <f>(I8-H8)/H8</f>
        <v/>
      </c>
      <c r="P8" s="20">
        <f>COUNTIFS(D$4:D8,D8,E$4:E8,E8)</f>
        <v/>
      </c>
      <c r="Q8" s="51">
        <f>INDEX(Purchase!A$4:A$58,_xlfn.AGGREGATE(15,6,(ROW(Purchase!A$4:A$58)-ROW(Purchase!A$3))/(Purchase!D$4:D$58=D8)/(Purchase!E$4:E$58=E8)/(Purchase!N$4:N$57&gt;=P8),1))</f>
        <v/>
      </c>
      <c r="R8" s="20">
        <f>Q8=F8</f>
        <v/>
      </c>
    </row>
    <row r="9">
      <c r="A9" s="20" t="n">
        <v>6</v>
      </c>
      <c r="B9" s="12" t="n">
        <v>45117</v>
      </c>
      <c r="C9" s="25" t="inlineStr">
        <is>
          <t>Shopee</t>
        </is>
      </c>
      <c r="D9" s="19" t="inlineStr">
        <is>
          <t>[Person_2] Backpack 20L</t>
        </is>
      </c>
      <c r="E9" s="20" t="inlineStr">
        <is>
          <t>Black</t>
        </is>
      </c>
      <c r="F9" s="12" t="n">
        <v>45114</v>
      </c>
      <c r="G9" s="12">
        <f t="array" ref="G9">INDEX(Purchase!$B$4:$B$51,MATCH(F9&amp;Sales!D9&amp;Sales!E9,Purchase!$A$4:$A$51&amp;Purchase!$D$4:$D$51&amp;Purchase!$E$4:$E$51,0))</f>
        <v/>
      </c>
      <c r="H9" s="21">
        <f t="array" ref="H9">INDEX(Purchase!$G$4:$G$51,MATCH(Sales!D9&amp;Sales!E9&amp;Sales!F9&amp;G9,Purchase!$D$4:$D$51&amp;Purchase!$E$4:$E$51&amp;Purchase!$A$4:$A$51&amp;Purchase!$B$4:$B$51,0))</f>
        <v/>
      </c>
      <c r="I9" s="21" t="n">
        <v>375000</v>
      </c>
      <c r="J9" s="21">
        <f>I9-H9</f>
        <v/>
      </c>
      <c r="K9" s="21" t="n">
        <v>0</v>
      </c>
      <c r="L9" s="21">
        <f>J9-K9</f>
        <v/>
      </c>
      <c r="M9" s="21" t="inlineStr">
        <is>
          <t>Full Profit</t>
        </is>
      </c>
      <c r="N9" s="22">
        <f>(I9-H9)/H9</f>
        <v/>
      </c>
      <c r="P9" s="20">
        <f>COUNTIFS(D$4:D9,D9,E$4:E9,E9)</f>
        <v/>
      </c>
      <c r="Q9" s="51">
        <f>INDEX(Purchase!A$4:A$58,_xlfn.AGGREGATE(15,6,(ROW(Purchase!A$4:A$58)-ROW(Purchase!A$3))/(Purchase!D$4:D$58=D9)/(Purchase!E$4:E$58=E9)/(Purchase!N$4:N$57&gt;=P9),1))</f>
        <v/>
      </c>
      <c r="R9" s="20">
        <f>Q9=F9</f>
        <v/>
      </c>
    </row>
    <row r="10">
      <c r="A10" s="20" t="n">
        <v>7</v>
      </c>
      <c r="B10" s="12" t="n">
        <v>45117</v>
      </c>
      <c r="C10" s="25" t="inlineStr">
        <is>
          <t>Shopee</t>
        </is>
      </c>
      <c r="D10" s="19" t="inlineStr">
        <is>
          <t>Eiger Starter Daypack 16L</t>
        </is>
      </c>
      <c r="E10" s="20" t="inlineStr">
        <is>
          <t>Olive</t>
        </is>
      </c>
      <c r="F10" s="12" t="n">
        <v>45114</v>
      </c>
      <c r="G10" s="12">
        <f t="array" ref="G10">INDEX(Purchase!$B$4:$B$51,MATCH(F10&amp;Sales!D10&amp;Sales!E10,Purchase!$A$4:$A$51&amp;Purchase!$D$4:$D$51&amp;Purchase!$E$4:$E$51,0))</f>
        <v/>
      </c>
      <c r="H10" s="21">
        <f t="array" ref="H10">INDEX(Purchase!$G$4:$G$51,MATCH(Sales!D10&amp;Sales!E10&amp;Sales!F10&amp;G10,Purchase!$D$4:$D$51&amp;Purchase!$E$4:$E$51&amp;Purchase!$A$4:$A$51&amp;Purchase!$B$4:$B$51,0))</f>
        <v/>
      </c>
      <c r="I10" s="21" t="n">
        <v>310000</v>
      </c>
      <c r="J10" s="21">
        <f>I10-H10</f>
        <v/>
      </c>
      <c r="K10" s="21" t="n">
        <v>0</v>
      </c>
      <c r="L10" s="21">
        <f>J10-K10</f>
        <v/>
      </c>
      <c r="M10" s="21" t="inlineStr">
        <is>
          <t>Full Profit</t>
        </is>
      </c>
      <c r="N10" s="22">
        <f>(I10-H10)/H10</f>
        <v/>
      </c>
      <c r="P10" s="20">
        <f>COUNTIFS(D$4:D10,D10,E$4:E10,E10)</f>
        <v/>
      </c>
      <c r="Q10" s="51">
        <f>INDEX(Purchase!A$4:A$58,_xlfn.AGGREGATE(15,6,(ROW(Purchase!A$4:A$58)-ROW(Purchase!A$3))/(Purchase!D$4:D$58=D10)/(Purchase!E$4:E$58=E10)/(Purchase!N$4:N$57&gt;=P10),1))</f>
        <v/>
      </c>
      <c r="R10" s="20">
        <f>Q10=F10</f>
        <v/>
      </c>
    </row>
    <row r="11">
      <c r="A11" s="20" t="n">
        <v>8</v>
      </c>
      <c r="B11" s="12" t="n">
        <v>45118</v>
      </c>
      <c r="C11" s="25" t="inlineStr">
        <is>
          <t>Shopee</t>
        </is>
      </c>
      <c r="D11" s="19" t="inlineStr">
        <is>
          <t>[Person_2] Backpack 20L</t>
        </is>
      </c>
      <c r="E11" s="20" t="inlineStr">
        <is>
          <t>Black</t>
        </is>
      </c>
      <c r="F11" s="12" t="n">
        <v>45114</v>
      </c>
      <c r="G11" s="12">
        <f t="array" ref="G11">INDEX(Purchase!$B$4:$B$51,MATCH(F11&amp;Sales!D11&amp;Sales!E11,Purchase!$A$4:$A$51&amp;Purchase!$D$4:$D$51&amp;Purchase!$E$4:$E$51,0))</f>
        <v/>
      </c>
      <c r="H11" s="21">
        <f t="array" ref="H11">INDEX(Purchase!$G$4:$G$51,MATCH(Sales!D11&amp;Sales!E11&amp;Sales!F11&amp;G11,Purchase!$D$4:$D$51&amp;Purchase!$E$4:$E$51&amp;Purchase!$A$4:$A$51&amp;Purchase!$B$4:$B$51,0))</f>
        <v/>
      </c>
      <c r="I11" s="21" t="n">
        <v>375000</v>
      </c>
      <c r="J11" s="21">
        <f>I11-H11</f>
        <v/>
      </c>
      <c r="K11" s="21" t="n">
        <v>0</v>
      </c>
      <c r="L11" s="21">
        <f>J11-K11</f>
        <v/>
      </c>
      <c r="M11" s="21" t="inlineStr">
        <is>
          <t>Full Profit</t>
        </is>
      </c>
      <c r="N11" s="22">
        <f>(I11-H11)/H11</f>
        <v/>
      </c>
      <c r="P11" s="20">
        <f>COUNTIFS(D$4:D11,D11,E$4:E11,E11)</f>
        <v/>
      </c>
      <c r="Q11" s="51">
        <f>INDEX(Purchase!A$4:A$58,_xlfn.AGGREGATE(15,6,(ROW(Purchase!A$4:A$58)-ROW(Purchase!A$3))/(Purchase!D$4:D$58=D11)/(Purchase!E$4:E$58=E11)/(Purchase!N$4:N$57&gt;=P11),1))</f>
        <v/>
      </c>
      <c r="R11" s="20">
        <f>Q11=F11</f>
        <v/>
      </c>
    </row>
    <row r="12">
      <c r="A12" s="20" t="n">
        <v>9</v>
      </c>
      <c r="B12" s="12" t="n">
        <v>45118</v>
      </c>
      <c r="C12" s="25" t="inlineStr">
        <is>
          <t>Shopee</t>
        </is>
      </c>
      <c r="D12" s="19" t="inlineStr">
        <is>
          <t>[Person_2] Backpack 20L</t>
        </is>
      </c>
      <c r="E12" s="20" t="inlineStr">
        <is>
          <t>Navy</t>
        </is>
      </c>
      <c r="F12" s="12" t="n">
        <v>45114</v>
      </c>
      <c r="G12" s="12">
        <f t="array" ref="G12">INDEX(Purchase!$B$4:$B$51,MATCH(F12&amp;Sales!D12&amp;Sales!E12,Purchase!$A$4:$A$51&amp;Purchase!$D$4:$D$51&amp;Purchase!$E$4:$E$51,0))</f>
        <v/>
      </c>
      <c r="H12" s="21">
        <f t="array" ref="H12">INDEX(Purchase!$G$4:$G$51,MATCH(Sales!D12&amp;Sales!E12&amp;Sales!F12&amp;G12,Purchase!$D$4:$D$51&amp;Purchase!$E$4:$E$51&amp;Purchase!$A$4:$A$51&amp;Purchase!$B$4:$B$51,0))</f>
        <v/>
      </c>
      <c r="I12" s="21" t="n">
        <v>370000</v>
      </c>
      <c r="J12" s="21">
        <f>I12-H12</f>
        <v/>
      </c>
      <c r="K12" s="21" t="n">
        <v>0</v>
      </c>
      <c r="L12" s="21">
        <f>J12-K12</f>
        <v/>
      </c>
      <c r="M12" s="21" t="inlineStr">
        <is>
          <t>Full Profit</t>
        </is>
      </c>
      <c r="N12" s="22">
        <f>(I12-H12)/H12</f>
        <v/>
      </c>
      <c r="P12" s="20">
        <f>COUNTIFS(D$4:D12,D12,E$4:E12,E12)</f>
        <v/>
      </c>
      <c r="Q12" s="51">
        <f>INDEX(Purchase!A$4:A$58,_xlfn.AGGREGATE(15,6,(ROW(Purchase!A$4:A$58)-ROW(Purchase!A$3))/(Purchase!D$4:D$58=D12)/(Purchase!E$4:E$58=E12)/(Purchase!N$4:N$57&gt;=P12),1))</f>
        <v/>
      </c>
      <c r="R12" s="20">
        <f>Q12=F12</f>
        <v/>
      </c>
    </row>
    <row r="13">
      <c r="A13" s="20" t="n">
        <v>10</v>
      </c>
      <c r="B13" s="12" t="n">
        <v>45118</v>
      </c>
      <c r="C13" s="25" t="inlineStr">
        <is>
          <t>Shopee</t>
        </is>
      </c>
      <c r="D13" s="19" t="inlineStr">
        <is>
          <t>[Person_2] Backpack 20L</t>
        </is>
      </c>
      <c r="E13" s="20" t="inlineStr">
        <is>
          <t>Black</t>
        </is>
      </c>
      <c r="F13" s="12" t="n">
        <v>45114</v>
      </c>
      <c r="G13" s="12">
        <f t="array" ref="G13">INDEX(Purchase!$B$4:$B$51,MATCH(F13&amp;Sales!D13&amp;Sales!E13,Purchase!$A$4:$A$51&amp;Purchase!$D$4:$D$51&amp;Purchase!$E$4:$E$51,0))</f>
        <v/>
      </c>
      <c r="H13" s="21">
        <f t="array" ref="H13">INDEX(Purchase!$G$4:$G$51,MATCH(Sales!D13&amp;Sales!E13&amp;Sales!F13&amp;G13,Purchase!$D$4:$D$51&amp;Purchase!$E$4:$E$51&amp;Purchase!$A$4:$A$51&amp;Purchase!$B$4:$B$51,0))</f>
        <v/>
      </c>
      <c r="I13" s="21" t="n">
        <v>370000</v>
      </c>
      <c r="J13" s="21">
        <f>I13-H13</f>
        <v/>
      </c>
      <c r="K13" s="21" t="n">
        <v>0</v>
      </c>
      <c r="L13" s="21">
        <f>J13-K13</f>
        <v/>
      </c>
      <c r="M13" s="21" t="inlineStr">
        <is>
          <t>Full Profit</t>
        </is>
      </c>
      <c r="N13" s="22">
        <f>(I13-H13)/H13</f>
        <v/>
      </c>
      <c r="P13" s="20">
        <f>COUNTIFS(D$4:D13,D13,E$4:E13,E13)</f>
        <v/>
      </c>
      <c r="Q13" s="51">
        <f>INDEX(Purchase!A$4:A$58,_xlfn.AGGREGATE(15,6,(ROW(Purchase!A$4:A$58)-ROW(Purchase!A$3))/(Purchase!D$4:D$58=D13)/(Purchase!E$4:E$58=E13)/(Purchase!N$4:N$57&gt;=P13),1))</f>
        <v/>
      </c>
      <c r="R13" s="20">
        <f>Q13=F13</f>
        <v/>
      </c>
    </row>
    <row r="14">
      <c r="A14" s="20" t="n">
        <v>11</v>
      </c>
      <c r="B14" s="12" t="n">
        <v>45119</v>
      </c>
      <c r="C14" s="25" t="inlineStr">
        <is>
          <t>Shopee</t>
        </is>
      </c>
      <c r="D14" s="19" t="inlineStr">
        <is>
          <t>[Person_2] Backpack 20L</t>
        </is>
      </c>
      <c r="E14" s="20" t="inlineStr">
        <is>
          <t>Black</t>
        </is>
      </c>
      <c r="F14" s="12" t="n">
        <v>45114</v>
      </c>
      <c r="G14" s="12">
        <f t="array" ref="G14">INDEX(Purchase!$B$4:$B$51,MATCH(F14&amp;Sales!D14&amp;Sales!E14,Purchase!$A$4:$A$51&amp;Purchase!$D$4:$D$51&amp;Purchase!$E$4:$E$51,0))</f>
        <v/>
      </c>
      <c r="H14" s="21">
        <f t="array" ref="H14">INDEX(Purchase!$G$4:$G$51,MATCH(Sales!D14&amp;Sales!E14&amp;Sales!F14&amp;G14,Purchase!$D$4:$D$51&amp;Purchase!$E$4:$E$51&amp;Purchase!$A$4:$A$51&amp;Purchase!$B$4:$B$51,0))</f>
        <v/>
      </c>
      <c r="I14" s="21" t="n">
        <v>370000</v>
      </c>
      <c r="J14" s="21">
        <f>I14-H14</f>
        <v/>
      </c>
      <c r="K14" s="21" t="n">
        <v>0</v>
      </c>
      <c r="L14" s="21">
        <f>J14-K14</f>
        <v/>
      </c>
      <c r="M14" s="21" t="inlineStr">
        <is>
          <t>Full Profit</t>
        </is>
      </c>
      <c r="N14" s="22">
        <f>(I14-H14)/H14</f>
        <v/>
      </c>
      <c r="P14" s="20">
        <f>COUNTIFS(D$4:D14,D14,E$4:E14,E14)</f>
        <v/>
      </c>
      <c r="Q14" s="51">
        <f>INDEX(Purchase!A$4:A$58,_xlfn.AGGREGATE(15,6,(ROW(Purchase!A$4:A$58)-ROW(Purchase!A$3))/(Purchase!D$4:D$58=D14)/(Purchase!E$4:E$58=E14)/(Purchase!N$4:N$57&gt;=P14),1))</f>
        <v/>
      </c>
      <c r="R14" s="20">
        <f>Q14=F14</f>
        <v/>
      </c>
    </row>
    <row r="15">
      <c r="A15" s="20" t="n">
        <v>12</v>
      </c>
      <c r="B15" s="12" t="n">
        <v>45121</v>
      </c>
      <c r="C15" s="25" t="inlineStr">
        <is>
          <t>Tokopedia</t>
        </is>
      </c>
      <c r="D15" s="14" t="inlineStr">
        <is>
          <t>Eiger Meridian 30L Laptop Backpack</t>
        </is>
      </c>
      <c r="E15" s="20" t="inlineStr">
        <is>
          <t>Black</t>
        </is>
      </c>
      <c r="F15" s="12" t="n">
        <v>45114</v>
      </c>
      <c r="G15" s="12">
        <f t="array" ref="G15">INDEX(Purchase!$B$4:$B$51,MATCH(F15&amp;Sales!D15&amp;Sales!E15,Purchase!$A$4:$A$51&amp;Purchase!$D$4:$D$51&amp;Purchase!$E$4:$E$51,0))</f>
        <v/>
      </c>
      <c r="H15" s="21">
        <f t="array" ref="H15">INDEX(Purchase!$G$4:$G$51,MATCH(Sales!D15&amp;Sales!E15&amp;Sales!F15&amp;G15,Purchase!$D$4:$D$51&amp;Purchase!$E$4:$E$51&amp;Purchase!$A$4:$A$51&amp;Purchase!$B$4:$B$51,0))</f>
        <v/>
      </c>
      <c r="I15" s="21">
        <f>560000-(3.8%*560000)</f>
        <v/>
      </c>
      <c r="J15" s="21">
        <f>I15-H15</f>
        <v/>
      </c>
      <c r="K15" s="21" t="n">
        <v>0</v>
      </c>
      <c r="L15" s="21">
        <f>J15-K15</f>
        <v/>
      </c>
      <c r="M15" s="21" t="inlineStr">
        <is>
          <t>Full Profit</t>
        </is>
      </c>
      <c r="N15" s="22">
        <f>(I15-H15)/H15</f>
        <v/>
      </c>
      <c r="P15" s="20">
        <f>COUNTIFS(D$4:D15,D15,E$4:E15,E15)</f>
        <v/>
      </c>
      <c r="Q15" s="51">
        <f>INDEX(Purchase!A$4:A$58,_xlfn.AGGREGATE(15,6,(ROW(Purchase!A$4:A$58)-ROW(Purchase!A$3))/(Purchase!D$4:D$58=D15)/(Purchase!E$4:E$58=E15)/(Purchase!N$4:N$57&gt;=P15),1))</f>
        <v/>
      </c>
      <c r="R15" s="20">
        <f>Q15=F15</f>
        <v/>
      </c>
    </row>
    <row r="16">
      <c r="A16" s="20" t="n">
        <v>13</v>
      </c>
      <c r="B16" s="12" t="n">
        <v>45121</v>
      </c>
      <c r="C16" s="25" t="inlineStr">
        <is>
          <t>Tokopedia</t>
        </is>
      </c>
      <c r="D16" s="14" t="inlineStr">
        <is>
          <t>Eiger Meridian 30L Laptop Backpack</t>
        </is>
      </c>
      <c r="E16" s="20" t="inlineStr">
        <is>
          <t>Black</t>
        </is>
      </c>
      <c r="F16" s="12" t="n">
        <v>45114</v>
      </c>
      <c r="G16" s="12">
        <f t="array" ref="G16">INDEX(Purchase!$B$4:$B$51,MATCH(F16&amp;Sales!D16&amp;Sales!E16,Purchase!$A$4:$A$51&amp;Purchase!$D$4:$D$51&amp;Purchase!$E$4:$E$51,0))</f>
        <v/>
      </c>
      <c r="H16" s="21">
        <f t="array" ref="H16">INDEX(Purchase!$G$4:$G$51,MATCH(Sales!D16&amp;Sales!E16&amp;Sales!F16&amp;G16,Purchase!$D$4:$D$51&amp;Purchase!$E$4:$E$51&amp;Purchase!$A$4:$A$51&amp;Purchase!$B$4:$B$51,0))</f>
        <v/>
      </c>
      <c r="I16" s="21">
        <f>560000-(3.8%*560000)</f>
        <v/>
      </c>
      <c r="J16" s="21">
        <f>I16-H16</f>
        <v/>
      </c>
      <c r="K16" s="21" t="n">
        <v>0</v>
      </c>
      <c r="L16" s="21">
        <f>J16-K16</f>
        <v/>
      </c>
      <c r="M16" s="21" t="inlineStr">
        <is>
          <t>Full Profit</t>
        </is>
      </c>
      <c r="N16" s="22">
        <f>(I16-H16)/H16</f>
        <v/>
      </c>
      <c r="P16" s="20">
        <f>COUNTIFS(D$4:D16,D16,E$4:E16,E16)</f>
        <v/>
      </c>
      <c r="Q16" s="51">
        <f>INDEX(Purchase!A$4:A$58,_xlfn.AGGREGATE(15,6,(ROW(Purchase!A$4:A$58)-ROW(Purchase!A$3))/(Purchase!D$4:D$58=D16)/(Purchase!E$4:E$58=E16)/(Purchase!N$4:N$57&gt;=P16),1))</f>
        <v/>
      </c>
      <c r="R16" s="20">
        <f>Q16=F16</f>
        <v/>
      </c>
    </row>
    <row r="17">
      <c r="A17" s="20" t="n">
        <v>14</v>
      </c>
      <c r="B17" s="12" t="n">
        <v>45121</v>
      </c>
      <c r="C17" s="25" t="inlineStr">
        <is>
          <t>Tokopedia</t>
        </is>
      </c>
      <c r="D17" s="14" t="inlineStr">
        <is>
          <t>Eiger Meridian 30L Laptop Backpack</t>
        </is>
      </c>
      <c r="E17" s="20" t="inlineStr">
        <is>
          <t>Black</t>
        </is>
      </c>
      <c r="F17" s="12" t="n">
        <v>45114</v>
      </c>
      <c r="G17" s="12">
        <f t="array" ref="G17">INDEX(Purchase!$B$4:$B$51,MATCH(F17&amp;Sales!D17&amp;Sales!E17,Purchase!$A$4:$A$51&amp;Purchase!$D$4:$D$51&amp;Purchase!$E$4:$E$51,0))</f>
        <v/>
      </c>
      <c r="H17" s="21">
        <f t="array" ref="H17">INDEX(Purchase!$G$4:$G$51,MATCH(Sales!D17&amp;Sales!E17&amp;Sales!F17&amp;G17,Purchase!$D$4:$D$51&amp;Purchase!$E$4:$E$51&amp;Purchase!$A$4:$A$51&amp;Purchase!$B$4:$B$51,0))</f>
        <v/>
      </c>
      <c r="I17" s="21">
        <f>560000-(3.8%*560000)</f>
        <v/>
      </c>
      <c r="J17" s="21">
        <f>I17-H17</f>
        <v/>
      </c>
      <c r="K17" s="21" t="n">
        <v>0</v>
      </c>
      <c r="L17" s="21">
        <f>J17-K17</f>
        <v/>
      </c>
      <c r="M17" s="21" t="inlineStr">
        <is>
          <t>Full Profit</t>
        </is>
      </c>
      <c r="N17" s="22">
        <f>(I17-H17)/H17</f>
        <v/>
      </c>
      <c r="P17" s="20">
        <f>COUNTIFS(D$4:D17,D17,E$4:E17,E17)</f>
        <v/>
      </c>
      <c r="Q17" s="51">
        <f>INDEX(Purchase!A$4:A$58,_xlfn.AGGREGATE(15,6,(ROW(Purchase!A$4:A$58)-ROW(Purchase!A$3))/(Purchase!D$4:D$58=D17)/(Purchase!E$4:E$58=E17)/(Purchase!N$4:N$57&gt;=P17),1))</f>
        <v/>
      </c>
      <c r="R17" s="20">
        <f>Q17=F17</f>
        <v/>
      </c>
    </row>
    <row r="18">
      <c r="A18" s="20" t="n">
        <v>15</v>
      </c>
      <c r="B18" s="12" t="n">
        <v>45121</v>
      </c>
      <c r="C18" s="25" t="inlineStr">
        <is>
          <t>Tokopedia</t>
        </is>
      </c>
      <c r="D18" s="14" t="inlineStr">
        <is>
          <t>Eiger Meridian 30L Laptop Backpack</t>
        </is>
      </c>
      <c r="E18" s="20" t="inlineStr">
        <is>
          <t>Black</t>
        </is>
      </c>
      <c r="F18" s="12" t="n">
        <v>45114</v>
      </c>
      <c r="G18" s="12">
        <f t="array" ref="G18">INDEX(Purchase!$B$4:$B$51,MATCH(F18&amp;Sales!D18&amp;Sales!E18,Purchase!$A$4:$A$51&amp;Purchase!$D$4:$D$51&amp;Purchase!$E$4:$E$51,0))</f>
        <v/>
      </c>
      <c r="H18" s="21">
        <f t="array" ref="H18">INDEX(Purchase!$G$4:$G$51,MATCH(Sales!D18&amp;Sales!E18&amp;Sales!F18&amp;G18,Purchase!$D$4:$D$51&amp;Purchase!$E$4:$E$51&amp;Purchase!$A$4:$A$51&amp;Purchase!$B$4:$B$51,0))</f>
        <v/>
      </c>
      <c r="I18" s="21">
        <f>560000-(3.8%*560000)</f>
        <v/>
      </c>
      <c r="J18" s="21">
        <f>I18-H18</f>
        <v/>
      </c>
      <c r="K18" s="21" t="n">
        <v>0</v>
      </c>
      <c r="L18" s="21">
        <f>J18-K18</f>
        <v/>
      </c>
      <c r="M18" s="21" t="inlineStr">
        <is>
          <t>Full Profit</t>
        </is>
      </c>
      <c r="N18" s="22">
        <f>(I18-H18)/H18</f>
        <v/>
      </c>
      <c r="P18" s="20">
        <f>COUNTIFS(D$4:D18,D18,E$4:E18,E18)</f>
        <v/>
      </c>
      <c r="Q18" s="51">
        <f>INDEX(Purchase!A$4:A$58,_xlfn.AGGREGATE(15,6,(ROW(Purchase!A$4:A$58)-ROW(Purchase!A$3))/(Purchase!D$4:D$58=D18)/(Purchase!E$4:E$58=E18)/(Purchase!N$4:N$57&gt;=P18),1))</f>
        <v/>
      </c>
      <c r="R18" s="20">
        <f>Q18=F18</f>
        <v/>
      </c>
    </row>
    <row r="19">
      <c r="A19" s="20" t="n">
        <v>16</v>
      </c>
      <c r="B19" s="12" t="n">
        <v>45121</v>
      </c>
      <c r="C19" s="25" t="inlineStr">
        <is>
          <t>Tokopedia</t>
        </is>
      </c>
      <c r="D19" s="19" t="inlineStr">
        <is>
          <t>[Person_5] Pack 20L Backpack</t>
        </is>
      </c>
      <c r="E19" s="20" t="inlineStr">
        <is>
          <t>Navy</t>
        </is>
      </c>
      <c r="F19" s="12" t="n">
        <v>45114</v>
      </c>
      <c r="G19" s="12">
        <f t="array" ref="G19">INDEX(Purchase!$B$4:$B$51,MATCH(F19&amp;Sales!D19&amp;Sales!E19,Purchase!$A$4:$A$51&amp;Purchase!$D$4:$D$51&amp;Purchase!$E$4:$E$51,0))</f>
        <v/>
      </c>
      <c r="H19" s="21">
        <f t="array" ref="H19">INDEX(Purchase!$G$4:$G$51,MATCH(Sales!D19&amp;Sales!E19&amp;Sales!F19&amp;G19,Purchase!$D$4:$D$51&amp;Purchase!$E$4:$E$51&amp;Purchase!$A$4:$A$51&amp;Purchase!$B$4:$B$51,0))</f>
        <v/>
      </c>
      <c r="I19" s="21">
        <f>367000-(4.5%*367000)-10000</f>
        <v/>
      </c>
      <c r="J19" s="21">
        <f>I19-H19</f>
        <v/>
      </c>
      <c r="K19" s="21" t="n">
        <v>0</v>
      </c>
      <c r="L19" s="21">
        <f>J19-K19</f>
        <v/>
      </c>
      <c r="M19" s="21" t="inlineStr">
        <is>
          <t>Full Profit</t>
        </is>
      </c>
      <c r="N19" s="22">
        <f>(I19-H19)/H19</f>
        <v/>
      </c>
      <c r="P19" s="20">
        <f>COUNTIFS(D$4:D19,D19,E$4:E19,E19)</f>
        <v/>
      </c>
      <c r="Q19" s="51">
        <f>INDEX(Purchase!A$4:A$58,_xlfn.AGGREGATE(15,6,(ROW(Purchase!A$4:A$58)-ROW(Purchase!A$3))/(Purchase!D$4:D$58=D19)/(Purchase!E$4:E$58=E19)/(Purchase!N$4:N$57&gt;=P19),1))</f>
        <v/>
      </c>
      <c r="R19" s="20">
        <f>Q19=F19</f>
        <v/>
      </c>
    </row>
    <row r="20">
      <c r="A20" s="20" t="n">
        <v>17</v>
      </c>
      <c r="B20" s="12" t="n">
        <v>45124</v>
      </c>
      <c r="C20" s="25" t="inlineStr">
        <is>
          <t>Shopee</t>
        </is>
      </c>
      <c r="D20" s="19" t="inlineStr">
        <is>
          <t>[Person_2] Backpack 20L</t>
        </is>
      </c>
      <c r="E20" s="20" t="inlineStr">
        <is>
          <t>Navy</t>
        </is>
      </c>
      <c r="F20" s="12" t="n">
        <v>45114</v>
      </c>
      <c r="G20" s="12">
        <f t="array" ref="G20">INDEX(Purchase!$B$4:$B$51,MATCH(F20&amp;Sales!D20&amp;Sales!E20,Purchase!$A$4:$A$51&amp;Purchase!$D$4:$D$51&amp;Purchase!$E$4:$E$51,0))</f>
        <v/>
      </c>
      <c r="H20" s="21">
        <f t="array" ref="H20">INDEX(Purchase!$G$4:$G$51,MATCH(Sales!D20&amp;Sales!E20&amp;Sales!F20&amp;G20,Purchase!$D$4:$D$51&amp;Purchase!$E$4:$E$51&amp;Purchase!$A$4:$A$51&amp;Purchase!$B$4:$B$51,0))</f>
        <v/>
      </c>
      <c r="I20" s="21" t="n">
        <v>370000</v>
      </c>
      <c r="J20" s="21">
        <f>I20-H20</f>
        <v/>
      </c>
      <c r="K20" s="21" t="n">
        <v>0</v>
      </c>
      <c r="L20" s="21">
        <f>J20-K20</f>
        <v/>
      </c>
      <c r="M20" s="21" t="inlineStr">
        <is>
          <t>Full Profit</t>
        </is>
      </c>
      <c r="N20" s="22">
        <f>(I20-H20)/H20</f>
        <v/>
      </c>
      <c r="P20" s="20">
        <f>COUNTIFS(D$4:D20,D20,E$4:E20,E20)</f>
        <v/>
      </c>
      <c r="Q20" s="51">
        <f>INDEX(Purchase!A$4:A$58,_xlfn.AGGREGATE(15,6,(ROW(Purchase!A$4:A$58)-ROW(Purchase!A$3))/(Purchase!D$4:D$58=D20)/(Purchase!E$4:E$58=E20)/(Purchase!N$4:N$57&gt;=P20),1))</f>
        <v/>
      </c>
      <c r="R20" s="20">
        <f>Q20=F20</f>
        <v/>
      </c>
    </row>
    <row r="21">
      <c r="A21" s="20" t="n">
        <v>18</v>
      </c>
      <c r="B21" s="12" t="n">
        <v>45125</v>
      </c>
      <c r="C21" s="25" t="inlineStr">
        <is>
          <t>Shopee</t>
        </is>
      </c>
      <c r="D21" s="19" t="inlineStr">
        <is>
          <t>[Person_2] Backpack 20L</t>
        </is>
      </c>
      <c r="E21" s="20" t="inlineStr">
        <is>
          <t>Khaki</t>
        </is>
      </c>
      <c r="F21" s="12" t="n">
        <v>45114</v>
      </c>
      <c r="G21" s="12">
        <f t="array" ref="G21">INDEX(Purchase!$B$4:$B$51,MATCH(F21&amp;Sales!D21&amp;Sales!E21,Purchase!$A$4:$A$51&amp;Purchase!$D$4:$D$51&amp;Purchase!$E$4:$E$51,0))</f>
        <v/>
      </c>
      <c r="H21" s="21">
        <f t="array" ref="H21">INDEX(Purchase!$G$4:$G$51,MATCH(Sales!D21&amp;Sales!E21&amp;Sales!F21&amp;G21,Purchase!$D$4:$D$51&amp;Purchase!$E$4:$E$51&amp;Purchase!$A$4:$A$51&amp;Purchase!$B$4:$B$51,0))</f>
        <v/>
      </c>
      <c r="I21" s="15" t="n">
        <v>375000</v>
      </c>
      <c r="J21" s="21">
        <f>I21-H21</f>
        <v/>
      </c>
      <c r="K21" s="21" t="n">
        <v>0</v>
      </c>
      <c r="L21" s="21">
        <f>J21-K21</f>
        <v/>
      </c>
      <c r="M21" s="21" t="inlineStr">
        <is>
          <t>Full Profit</t>
        </is>
      </c>
      <c r="N21" s="22">
        <f>(I21-H21)/H21</f>
        <v/>
      </c>
      <c r="P21" s="20">
        <f>COUNTIFS(D$4:D21,D21,E$4:E21,E21)</f>
        <v/>
      </c>
      <c r="Q21" s="51">
        <f>INDEX(Purchase!A$4:A$58,_xlfn.AGGREGATE(15,6,(ROW(Purchase!A$4:A$58)-ROW(Purchase!A$3))/(Purchase!D$4:D$58=D21)/(Purchase!E$4:E$58=E21)/(Purchase!N$4:N$57&gt;=P21),1))</f>
        <v/>
      </c>
      <c r="R21" s="20">
        <f>Q21=F21</f>
        <v/>
      </c>
    </row>
    <row r="22">
      <c r="A22" s="20" t="n">
        <v>19</v>
      </c>
      <c r="B22" s="12" t="n">
        <v>45126</v>
      </c>
      <c r="C22" s="25" t="inlineStr">
        <is>
          <t>Shopee</t>
        </is>
      </c>
      <c r="D22" s="19" t="inlineStr">
        <is>
          <t>[Person_2] Backpack 20L</t>
        </is>
      </c>
      <c r="E22" s="20" t="inlineStr">
        <is>
          <t>Black</t>
        </is>
      </c>
      <c r="F22" s="12" t="n">
        <v>45114</v>
      </c>
      <c r="G22" s="12">
        <f t="array" ref="G22">INDEX(Purchase!$B$4:$B$51,MATCH(F22&amp;Sales!D22&amp;Sales!E22,Purchase!$A$4:$A$51&amp;Purchase!$D$4:$D$51&amp;Purchase!$E$4:$E$51,0))</f>
        <v/>
      </c>
      <c r="H22" s="21">
        <f t="array" ref="H22">INDEX(Purchase!$G$4:$G$51,MATCH(Sales!D22&amp;Sales!E22&amp;Sales!F22&amp;G22,Purchase!$D$4:$D$51&amp;Purchase!$E$4:$E$51&amp;Purchase!$A$4:$A$51&amp;Purchase!$B$4:$B$51,0))</f>
        <v/>
      </c>
      <c r="I22" s="15" t="n">
        <v>375000</v>
      </c>
      <c r="J22" s="21">
        <f>I22-H22</f>
        <v/>
      </c>
      <c r="K22" s="21" t="n">
        <v>0</v>
      </c>
      <c r="L22" s="21">
        <f>J22-K22</f>
        <v/>
      </c>
      <c r="M22" s="21" t="inlineStr">
        <is>
          <t>Full Profit</t>
        </is>
      </c>
      <c r="N22" s="22">
        <f>(I22-H22)/H22</f>
        <v/>
      </c>
      <c r="P22" s="20">
        <f>COUNTIFS(D$4:D22,D22,E$4:E22,E22)</f>
        <v/>
      </c>
      <c r="Q22" s="51">
        <f>INDEX(Purchase!A$4:A$58,_xlfn.AGGREGATE(15,6,(ROW(Purchase!A$4:A$58)-ROW(Purchase!A$3))/(Purchase!D$4:D$58=D22)/(Purchase!E$4:E$58=E22)/(Purchase!N$4:N$57&gt;=P22),1))</f>
        <v/>
      </c>
      <c r="R22" s="20">
        <f>Q22=F22</f>
        <v/>
      </c>
    </row>
    <row r="23">
      <c r="A23" s="20" t="n">
        <v>20</v>
      </c>
      <c r="B23" s="12" t="n">
        <v>45130</v>
      </c>
      <c r="C23" s="25" t="inlineStr">
        <is>
          <t>Shopee</t>
        </is>
      </c>
      <c r="D23" s="14" t="inlineStr">
        <is>
          <t>[Person_13] 3.0 Laptop 18L Backpack</t>
        </is>
      </c>
      <c r="E23" s="20" t="inlineStr">
        <is>
          <t>Black</t>
        </is>
      </c>
      <c r="F23" s="12" t="n">
        <v>45114</v>
      </c>
      <c r="G23" s="12">
        <f t="array" ref="G23">INDEX(Purchase!$B$4:$B$51,MATCH(F23&amp;Sales!D23&amp;Sales!E23,Purchase!$A$4:$A$51&amp;Purchase!$D$4:$D$51&amp;Purchase!$E$4:$E$51,0))</f>
        <v/>
      </c>
      <c r="H23" s="21">
        <f t="array" ref="H23">INDEX(Purchase!$G$4:$G$51,MATCH(Sales!D23&amp;Sales!E23&amp;Sales!F23&amp;G23,Purchase!$D$4:$D$51&amp;Purchase!$E$4:$E$51&amp;Purchase!$A$4:$A$51&amp;Purchase!$B$4:$B$51,0))</f>
        <v/>
      </c>
      <c r="I23" s="21" t="n">
        <v>412800</v>
      </c>
      <c r="J23" s="21">
        <f>I23-H23</f>
        <v/>
      </c>
      <c r="K23" s="21" t="n">
        <v>0</v>
      </c>
      <c r="L23" s="21">
        <f>J23-K23</f>
        <v/>
      </c>
      <c r="M23" s="21" t="inlineStr">
        <is>
          <t>Full Profit</t>
        </is>
      </c>
      <c r="N23" s="22">
        <f>(I23-H23)/H23</f>
        <v/>
      </c>
      <c r="P23" s="20">
        <f>COUNTIFS(D$4:D23,D23,E$4:E23,E23)</f>
        <v/>
      </c>
      <c r="Q23" s="51">
        <f>INDEX(Purchase!A$4:A$58,_xlfn.AGGREGATE(15,6,(ROW(Purchase!A$4:A$58)-ROW(Purchase!A$3))/(Purchase!D$4:D$58=D23)/(Purchase!E$4:E$58=E23)/(Purchase!N$4:N$57&gt;=P23),1))</f>
        <v/>
      </c>
      <c r="R23" s="20">
        <f>Q23=F23</f>
        <v/>
      </c>
    </row>
    <row r="24">
      <c r="A24" s="20" t="n">
        <v>21</v>
      </c>
      <c r="B24" s="12" t="n">
        <v>45139</v>
      </c>
      <c r="C24" s="25" t="inlineStr">
        <is>
          <t>Tokopedia</t>
        </is>
      </c>
      <c r="D24" s="19" t="inlineStr">
        <is>
          <t>[Person_15] 2.0 Laptop Backpack 20L</t>
        </is>
      </c>
      <c r="E24" s="20" t="inlineStr">
        <is>
          <t>Black</t>
        </is>
      </c>
      <c r="F24" s="12" t="n">
        <v>45114</v>
      </c>
      <c r="G24" s="12">
        <f t="array" ref="G24">INDEX(Purchase!$B$4:$B$51,MATCH(F24&amp;Sales!D24&amp;Sales!E24,Purchase!$A$4:$A$51&amp;Purchase!$D$4:$D$51&amp;Purchase!$E$4:$E$51,0))</f>
        <v/>
      </c>
      <c r="H24" s="21">
        <f t="array" ref="H24">INDEX(Purchase!$G$4:$G$51,MATCH(Sales!D24&amp;Sales!E24&amp;Sales!F24&amp;G24,Purchase!$D$4:$D$51&amp;Purchase!$E$4:$E$51&amp;Purchase!$A$4:$A$51&amp;Purchase!$B$4:$B$51,0))</f>
        <v/>
      </c>
      <c r="I24" s="21">
        <f>390000-10000-(390000*3.8%)</f>
        <v/>
      </c>
      <c r="J24" s="21">
        <f>I24-H24</f>
        <v/>
      </c>
      <c r="K24" s="21" t="n">
        <v>0</v>
      </c>
      <c r="L24" s="21">
        <f>J24-K24</f>
        <v/>
      </c>
      <c r="M24" s="21" t="inlineStr">
        <is>
          <t>Full Profit</t>
        </is>
      </c>
      <c r="N24" s="22">
        <f>(I24-H24)/H24</f>
        <v/>
      </c>
      <c r="P24" s="20">
        <f>COUNTIFS(D$4:D24,D24,E$4:E24,E24)</f>
        <v/>
      </c>
      <c r="Q24" s="51">
        <f>INDEX(Purchase!A$4:A$58,_xlfn.AGGREGATE(15,6,(ROW(Purchase!A$4:A$58)-ROW(Purchase!A$3))/(Purchase!D$4:D$58=D24)/(Purchase!E$4:E$58=E24)/(Purchase!N$4:N$57&gt;=P24),1))</f>
        <v/>
      </c>
      <c r="R24" s="20">
        <f>Q24=F24</f>
        <v/>
      </c>
    </row>
    <row r="25">
      <c r="A25" s="20" t="n">
        <v>22</v>
      </c>
      <c r="B25" s="12" t="n">
        <v>45140</v>
      </c>
      <c r="C25" s="25" t="inlineStr">
        <is>
          <t>Shopee</t>
        </is>
      </c>
      <c r="D25" s="19" t="inlineStr">
        <is>
          <t>[Person_6] 15 Laptop Backpack</t>
        </is>
      </c>
      <c r="E25" s="20" t="inlineStr">
        <is>
          <t>Navy</t>
        </is>
      </c>
      <c r="F25" s="12" t="n">
        <v>45114</v>
      </c>
      <c r="G25" s="12">
        <f t="array" ref="G25">INDEX(Purchase!$B$4:$B$51,MATCH(F25&amp;Sales!D25&amp;Sales!E25,Purchase!$A$4:$A$51&amp;Purchase!$D$4:$D$51&amp;Purchase!$E$4:$E$51,0))</f>
        <v/>
      </c>
      <c r="H25" s="21">
        <f t="array" ref="H25">INDEX(Purchase!$G$4:$G$51,MATCH(Sales!D25&amp;Sales!E25&amp;Sales!F25&amp;G25,Purchase!$D$4:$D$51&amp;Purchase!$E$4:$E$51&amp;Purchase!$A$4:$A$51&amp;Purchase!$B$4:$B$51,0))</f>
        <v/>
      </c>
      <c r="I25" s="21" t="n">
        <v>302400</v>
      </c>
      <c r="J25" s="21">
        <f>I25-H25</f>
        <v/>
      </c>
      <c r="K25" s="21" t="n">
        <v>0</v>
      </c>
      <c r="L25" s="21">
        <f>J25-K25</f>
        <v/>
      </c>
      <c r="M25" s="21" t="inlineStr">
        <is>
          <t>Full Profit</t>
        </is>
      </c>
      <c r="N25" s="22">
        <f>(I25-H25)/H25</f>
        <v/>
      </c>
      <c r="P25" s="20">
        <f>COUNTIFS(D$4:D25,D25,E$4:E25,E25)</f>
        <v/>
      </c>
      <c r="Q25" s="51">
        <f>INDEX(Purchase!A$4:A$58,_xlfn.AGGREGATE(15,6,(ROW(Purchase!A$4:A$58)-ROW(Purchase!A$3))/(Purchase!D$4:D$58=D25)/(Purchase!E$4:E$58=E25)/(Purchase!N$4:N$57&gt;=P25),1))</f>
        <v/>
      </c>
      <c r="R25" s="20">
        <f>Q25=F25</f>
        <v/>
      </c>
    </row>
    <row r="26">
      <c r="A26" s="20" t="n">
        <v>23</v>
      </c>
      <c r="B26" s="12" t="n">
        <v>45145</v>
      </c>
      <c r="C26" s="25" t="inlineStr">
        <is>
          <t>Tokopedia</t>
        </is>
      </c>
      <c r="D26" s="19" t="inlineStr">
        <is>
          <t>[Person_15] 2.0 Laptop Backpack 20L</t>
        </is>
      </c>
      <c r="E26" s="20" t="inlineStr">
        <is>
          <t>Black</t>
        </is>
      </c>
      <c r="F26" s="12" t="n">
        <v>45114</v>
      </c>
      <c r="G26" s="12">
        <f t="array" ref="G26">INDEX(Purchase!$B$4:$B$51,MATCH(F26&amp;Sales!D26&amp;Sales!E26,Purchase!$A$4:$A$51&amp;Purchase!$D$4:$D$51&amp;Purchase!$E$4:$E$51,0))</f>
        <v/>
      </c>
      <c r="H26" s="21">
        <f t="array" ref="H26">INDEX(Purchase!$G$4:$G$51,MATCH(Sales!D26&amp;Sales!E26&amp;Sales!F26&amp;G26,Purchase!$D$4:$D$51&amp;Purchase!$E$4:$E$51&amp;Purchase!$A$4:$A$51&amp;Purchase!$B$4:$B$51,0))</f>
        <v/>
      </c>
      <c r="I26" s="21">
        <f>390000-(390000*3.8%)</f>
        <v/>
      </c>
      <c r="J26" s="21">
        <f>I26-H26</f>
        <v/>
      </c>
      <c r="K26" s="21" t="n">
        <v>0</v>
      </c>
      <c r="L26" s="21">
        <f>J26-K26</f>
        <v/>
      </c>
      <c r="M26" s="21" t="inlineStr">
        <is>
          <t>Full Profit</t>
        </is>
      </c>
      <c r="N26" s="22">
        <f>(I26-H26)/H26</f>
        <v/>
      </c>
      <c r="P26" s="20">
        <f>COUNTIFS(D$4:D26,D26,E$4:E26,E26)</f>
        <v/>
      </c>
      <c r="Q26" s="51">
        <f>INDEX(Purchase!A$4:A$58,_xlfn.AGGREGATE(15,6,(ROW(Purchase!A$4:A$58)-ROW(Purchase!A$3))/(Purchase!D$4:D$58=D26)/(Purchase!E$4:E$58=E26)/(Purchase!N$4:N$57&gt;=P26),1))</f>
        <v/>
      </c>
      <c r="R26" s="20">
        <f>Q26=F26</f>
        <v/>
      </c>
    </row>
    <row r="27">
      <c r="A27" s="20" t="n">
        <v>24</v>
      </c>
      <c r="B27" s="12" t="n">
        <v>45150</v>
      </c>
      <c r="C27" s="25" t="inlineStr">
        <is>
          <t>Shopee</t>
        </is>
      </c>
      <c r="D27" s="14" t="inlineStr">
        <is>
          <t>[Person_9] 20L Woman Backpack</t>
        </is>
      </c>
      <c r="E27" s="13" t="inlineStr">
        <is>
          <t>Burgundy</t>
        </is>
      </c>
      <c r="F27" s="12" t="n">
        <v>45146</v>
      </c>
      <c r="G27" s="12">
        <f t="array" ref="G27">INDEX(Purchase!$B$4:$B$51,MATCH(F27&amp;Sales!D27&amp;Sales!E27,Purchase!$A$4:$A$51&amp;Purchase!$D$4:$D$51&amp;Purchase!$E$4:$E$51,0))</f>
        <v/>
      </c>
      <c r="H27" s="21">
        <f t="array" ref="H27">INDEX(Purchase!$G$4:$G$51,MATCH(Sales!D27&amp;Sales!E27&amp;Sales!F27&amp;G27,Purchase!$D$4:$D$51&amp;Purchase!$E$4:$E$51&amp;Purchase!$A$4:$A$51&amp;Purchase!$B$4:$B$51,0))</f>
        <v/>
      </c>
      <c r="I27" s="21" t="n">
        <v>417600</v>
      </c>
      <c r="J27" s="21">
        <f>I27-H27</f>
        <v/>
      </c>
      <c r="K27" s="21" t="n">
        <v>0</v>
      </c>
      <c r="L27" s="21">
        <f>J27-K27</f>
        <v/>
      </c>
      <c r="M27" s="21" t="inlineStr">
        <is>
          <t>Full Profit</t>
        </is>
      </c>
      <c r="N27" s="22">
        <f>(I27-H27)/H27</f>
        <v/>
      </c>
      <c r="P27" s="20">
        <f>COUNTIFS(D$4:D27,D27,E$4:E27,E27)</f>
        <v/>
      </c>
      <c r="Q27" s="51">
        <f>INDEX(Purchase!A$4:A$58,_xlfn.AGGREGATE(15,6,(ROW(Purchase!A$4:A$58)-ROW(Purchase!A$3))/(Purchase!D$4:D$58=D27)/(Purchase!E$4:E$58=E27)/(Purchase!N$4:N$57&gt;=P27),1))</f>
        <v/>
      </c>
      <c r="R27" s="20">
        <f>Q27=F27</f>
        <v/>
      </c>
    </row>
    <row r="28">
      <c r="A28" s="20" t="n">
        <v>25</v>
      </c>
      <c r="B28" s="12" t="n">
        <v>45153</v>
      </c>
      <c r="C28" s="25" t="inlineStr">
        <is>
          <t>Tokopedia</t>
        </is>
      </c>
      <c r="D28" s="19" t="inlineStr">
        <is>
          <t>Eiger Meridian 30L Laptop Backpack</t>
        </is>
      </c>
      <c r="E28" s="20" t="inlineStr">
        <is>
          <t>[Person_17]</t>
        </is>
      </c>
      <c r="F28" s="12" t="n">
        <v>45146</v>
      </c>
      <c r="G28" s="12">
        <f t="array" ref="G28">INDEX(Purchase!$B$4:$B$51,MATCH(F28&amp;Sales!D28&amp;Sales!E28,Purchase!$A$4:$A$51&amp;Purchase!$D$4:$D$51&amp;Purchase!$E$4:$E$51,0))</f>
        <v/>
      </c>
      <c r="H28" s="21">
        <f t="array" ref="H28">INDEX(Purchase!$G$4:$G$51,MATCH(Sales!D28&amp;Sales!E28&amp;Sales!F28&amp;G28,Purchase!$D$4:$D$51&amp;Purchase!$E$4:$E$51&amp;Purchase!$A$4:$A$51&amp;Purchase!$B$4:$B$51,0))</f>
        <v/>
      </c>
      <c r="I28" s="21">
        <f>560000-(560000*3.8%)-10000</f>
        <v/>
      </c>
      <c r="J28" s="21">
        <f>I28-H28</f>
        <v/>
      </c>
      <c r="K28" s="21" t="n">
        <v>0</v>
      </c>
      <c r="L28" s="21">
        <f>J28-K28</f>
        <v/>
      </c>
      <c r="M28" s="21" t="inlineStr">
        <is>
          <t>Full Profit</t>
        </is>
      </c>
      <c r="N28" s="22">
        <f>(I28-H28)/H28</f>
        <v/>
      </c>
      <c r="P28" s="20">
        <f>COUNTIFS(D$4:D28,D28,E$4:E28,E28)</f>
        <v/>
      </c>
      <c r="Q28" s="51">
        <f>INDEX(Purchase!A$4:A$58,_xlfn.AGGREGATE(15,6,(ROW(Purchase!A$4:A$58)-ROW(Purchase!A$3))/(Purchase!D$4:D$58=D28)/(Purchase!E$4:E$58=E28)/(Purchase!N$4:N$57&gt;=P28),1))</f>
        <v/>
      </c>
      <c r="R28" s="20">
        <f>Q28=F28</f>
        <v/>
      </c>
    </row>
    <row r="29">
      <c r="A29" s="20" t="n">
        <v>26</v>
      </c>
      <c r="B29" s="12" t="n">
        <v>45157</v>
      </c>
      <c r="C29" s="25" t="inlineStr">
        <is>
          <t>Shopee</t>
        </is>
      </c>
      <c r="D29" s="19" t="inlineStr">
        <is>
          <t>[Person_2] Backpack 20L</t>
        </is>
      </c>
      <c r="E29" s="20" t="inlineStr">
        <is>
          <t>Black</t>
        </is>
      </c>
      <c r="F29" s="12" t="n">
        <v>45139</v>
      </c>
      <c r="G29" s="12">
        <f t="array" ref="G29">INDEX(Purchase!$B$4:$B$51,MATCH(F29&amp;Sales!D29&amp;Sales!E29,Purchase!$A$4:$A$51&amp;Purchase!$D$4:$D$51&amp;Purchase!$E$4:$E$51,0))</f>
        <v/>
      </c>
      <c r="H29" s="21">
        <f t="array" ref="H29">INDEX(Purchase!$G$4:$G$51,MATCH(Sales!D29&amp;Sales!E29&amp;Sales!F29&amp;G29,Purchase!$D$4:$D$51&amp;Purchase!$E$4:$E$51&amp;Purchase!$A$4:$A$51&amp;Purchase!$B$4:$B$51,0))</f>
        <v/>
      </c>
      <c r="I29" s="21" t="n">
        <v>350400</v>
      </c>
      <c r="J29" s="21">
        <f>I29-H29</f>
        <v/>
      </c>
      <c r="K29" s="21" t="n">
        <v>0</v>
      </c>
      <c r="L29" s="21">
        <f>J29-K29</f>
        <v/>
      </c>
      <c r="M29" s="21" t="inlineStr">
        <is>
          <t>Full Profit</t>
        </is>
      </c>
      <c r="N29" s="22">
        <f>(I29-H29)/H29</f>
        <v/>
      </c>
      <c r="P29" s="20">
        <f>COUNTIFS(D$4:D29,D29,E$4:E29,E29)</f>
        <v/>
      </c>
      <c r="Q29" s="51">
        <f>INDEX(Purchase!A$4:A$58,_xlfn.AGGREGATE(15,6,(ROW(Purchase!A$4:A$58)-ROW(Purchase!A$3))/(Purchase!D$4:D$58=D29)/(Purchase!E$4:E$58=E29)/(Purchase!N$4:N$57&gt;=P29),1))</f>
        <v/>
      </c>
      <c r="R29" s="20">
        <f>Q29=F29</f>
        <v/>
      </c>
    </row>
    <row r="30">
      <c r="A30" s="20" t="n">
        <v>27</v>
      </c>
      <c r="B30" s="12" t="n">
        <v>45158</v>
      </c>
      <c r="C30" s="25" t="inlineStr">
        <is>
          <t>Tokopedia</t>
        </is>
      </c>
      <c r="D30" s="19" t="inlineStr">
        <is>
          <t>Eiger Meridian 30L Laptop Backpack</t>
        </is>
      </c>
      <c r="E30" s="20" t="inlineStr">
        <is>
          <t>Black</t>
        </is>
      </c>
      <c r="F30" s="12" t="n">
        <v>45114</v>
      </c>
      <c r="G30" s="12">
        <f t="array" ref="G30">INDEX(Purchase!$B$4:$B$51,MATCH(F30&amp;Sales!D30&amp;Sales!E30,Purchase!$A$4:$A$51&amp;Purchase!$D$4:$D$51&amp;Purchase!$E$4:$E$51,0))</f>
        <v/>
      </c>
      <c r="H30" s="21">
        <f t="array" ref="H30">INDEX(Purchase!$G$4:$G$51,MATCH(Sales!D30&amp;Sales!E30&amp;Sales!F30&amp;G30,Purchase!$D$4:$D$51&amp;Purchase!$E$4:$E$51&amp;Purchase!$A$4:$A$51&amp;Purchase!$B$4:$B$51,0))</f>
        <v/>
      </c>
      <c r="I30" s="21">
        <f>560000-(3.8%*560000)-9000</f>
        <v/>
      </c>
      <c r="J30" s="21">
        <f>I30-H30</f>
        <v/>
      </c>
      <c r="K30" s="21" t="n">
        <v>0</v>
      </c>
      <c r="L30" s="21">
        <f>J30-K30</f>
        <v/>
      </c>
      <c r="M30" s="21" t="inlineStr">
        <is>
          <t>Full Profit</t>
        </is>
      </c>
      <c r="N30" s="22">
        <f>(I30-H30)/H30</f>
        <v/>
      </c>
      <c r="P30" s="20">
        <f>COUNTIFS(D$4:D30,D30,E$4:E30,E30)</f>
        <v/>
      </c>
      <c r="Q30" s="51">
        <f>INDEX(Purchase!A$4:A$58,_xlfn.AGGREGATE(15,6,(ROW(Purchase!A$4:A$58)-ROW(Purchase!A$3))/(Purchase!D$4:D$58=D30)/(Purchase!E$4:E$58=E30)/(Purchase!N$4:N$57&gt;=P30),1))</f>
        <v/>
      </c>
      <c r="R30" s="20">
        <f>Q30=F30</f>
        <v/>
      </c>
    </row>
    <row r="31">
      <c r="A31" s="20" t="n">
        <v>28</v>
      </c>
      <c r="B31" s="12" t="n">
        <v>45158</v>
      </c>
      <c r="C31" s="25" t="inlineStr">
        <is>
          <t>Shopee</t>
        </is>
      </c>
      <c r="D31" s="19" t="inlineStr">
        <is>
          <t>[Person_16] Termina 2.0 Backpack</t>
        </is>
      </c>
      <c r="E31" s="20" t="inlineStr">
        <is>
          <t>Black</t>
        </is>
      </c>
      <c r="F31" s="12" t="n">
        <v>45136</v>
      </c>
      <c r="G31" s="12">
        <f t="array" ref="G31">INDEX(Purchase!$B$4:$B$51,MATCH(F31&amp;Sales!D31&amp;Sales!E31,Purchase!$A$4:$A$51&amp;Purchase!$D$4:$D$51&amp;Purchase!$E$4:$E$51,0))</f>
        <v/>
      </c>
      <c r="H31" s="21">
        <f t="array" ref="H31">INDEX(Purchase!$G$4:$G$51,MATCH(Sales!D31&amp;Sales!E31&amp;Sales!F31&amp;G31,Purchase!$D$4:$D$51&amp;Purchase!$E$4:$E$51&amp;Purchase!$A$4:$A$51&amp;Purchase!$B$4:$B$51,0))</f>
        <v/>
      </c>
      <c r="I31" s="21" t="n">
        <v>393600</v>
      </c>
      <c r="J31" s="21">
        <f>I31-H31</f>
        <v/>
      </c>
      <c r="K31" s="21" t="n">
        <v>0</v>
      </c>
      <c r="L31" s="21">
        <f>J31-K31</f>
        <v/>
      </c>
      <c r="M31" s="21" t="inlineStr">
        <is>
          <t>Full Profit</t>
        </is>
      </c>
      <c r="N31" s="22">
        <f>(I31-H31)/H31</f>
        <v/>
      </c>
      <c r="P31" s="20">
        <f>COUNTIFS(D$4:D31,D31,E$4:E31,E31)</f>
        <v/>
      </c>
      <c r="Q31" s="51">
        <f>INDEX(Purchase!A$4:A$58,_xlfn.AGGREGATE(15,6,(ROW(Purchase!A$4:A$58)-ROW(Purchase!A$3))/(Purchase!D$4:D$58=D31)/(Purchase!E$4:E$58=E31)/(Purchase!N$4:N$57&gt;=P31),1))</f>
        <v/>
      </c>
      <c r="R31" s="20">
        <f>Q31=F31</f>
        <v/>
      </c>
    </row>
    <row r="32">
      <c r="A32" s="20" t="n">
        <v>29</v>
      </c>
      <c r="B32" s="12" t="n">
        <v>45158</v>
      </c>
      <c r="C32" s="25" t="inlineStr">
        <is>
          <t>Shopee</t>
        </is>
      </c>
      <c r="D32" s="19" t="inlineStr">
        <is>
          <t>[Person_12]</t>
        </is>
      </c>
      <c r="E32" s="20" t="inlineStr">
        <is>
          <t>Olive</t>
        </is>
      </c>
      <c r="F32" s="12" t="n">
        <v>45115</v>
      </c>
      <c r="G32" s="12">
        <f t="array" ref="G32">INDEX(Purchase!$B$4:$B$51,MATCH(F32&amp;Sales!D32&amp;Sales!E32,Purchase!$A$4:$A$51&amp;Purchase!$D$4:$D$51&amp;Purchase!$E$4:$E$51,0))</f>
        <v/>
      </c>
      <c r="H32" s="21">
        <f t="array" ref="H32">INDEX(Purchase!$G$4:$G$51,MATCH(Sales!D32&amp;Sales!E32&amp;Sales!F32&amp;G32,Purchase!$D$4:$D$51&amp;Purchase!$E$4:$E$51&amp;Purchase!$A$4:$A$51&amp;Purchase!$B$4:$B$51,0))</f>
        <v/>
      </c>
      <c r="I32" s="21" t="n">
        <v>307200</v>
      </c>
      <c r="J32" s="21">
        <f>I32-H32</f>
        <v/>
      </c>
      <c r="K32" s="21" t="n">
        <v>0</v>
      </c>
      <c r="L32" s="21">
        <f>J32-K32</f>
        <v/>
      </c>
      <c r="M32" s="21" t="inlineStr">
        <is>
          <t>Full Profit</t>
        </is>
      </c>
      <c r="N32" s="22">
        <f>(I32-H32)/H32</f>
        <v/>
      </c>
      <c r="P32" s="20">
        <f>COUNTIFS(D$4:D32,D32,E$4:E32,E32)</f>
        <v/>
      </c>
      <c r="Q32" s="51">
        <f>INDEX(Purchase!A$4:A$58,_xlfn.AGGREGATE(15,6,(ROW(Purchase!A$4:A$58)-ROW(Purchase!A$3))/(Purchase!D$4:D$58=D32)/(Purchase!E$4:E$58=E32)/(Purchase!N$4:N$57&gt;=P32),1))</f>
        <v/>
      </c>
      <c r="R32" s="20">
        <f>Q32=F32</f>
        <v/>
      </c>
    </row>
    <row r="33">
      <c r="A33" s="20" t="n">
        <v>30</v>
      </c>
      <c r="B33" s="12" t="n">
        <v>45162</v>
      </c>
      <c r="C33" s="25" t="inlineStr">
        <is>
          <t>Tokopedia</t>
        </is>
      </c>
      <c r="D33" s="19" t="inlineStr">
        <is>
          <t>Eiger Meridian 30L Laptop Backpack</t>
        </is>
      </c>
      <c r="E33" s="20" t="inlineStr">
        <is>
          <t>Black</t>
        </is>
      </c>
      <c r="F33" s="12" t="n">
        <v>45114</v>
      </c>
      <c r="G33" s="12">
        <f t="array" ref="G33">INDEX(Purchase!$B$4:$B$51,MATCH(F33&amp;Sales!D33&amp;Sales!E33,Purchase!$A$4:$A$51&amp;Purchase!$D$4:$D$51&amp;Purchase!$E$4:$E$51,0))</f>
        <v/>
      </c>
      <c r="H33" s="21">
        <f t="array" ref="H33">INDEX(Purchase!$G$4:$G$51,MATCH(Sales!D33&amp;Sales!E33&amp;Sales!F33&amp;G33,Purchase!$D$4:$D$51&amp;Purchase!$E$4:$E$51&amp;Purchase!$A$4:$A$51&amp;Purchase!$B$4:$B$51,0))</f>
        <v/>
      </c>
      <c r="I33" s="21">
        <f>560000-(3.8%*560000)-9000</f>
        <v/>
      </c>
      <c r="J33" s="21">
        <f>I33-H33</f>
        <v/>
      </c>
      <c r="K33" s="21" t="n">
        <v>0</v>
      </c>
      <c r="L33" s="21">
        <f>J33-K33</f>
        <v/>
      </c>
      <c r="M33" s="21" t="inlineStr">
        <is>
          <t>Full Profit</t>
        </is>
      </c>
      <c r="N33" s="22">
        <f>(I33-H33)/H33</f>
        <v/>
      </c>
      <c r="P33" s="20">
        <f>COUNTIFS(D$4:D33,D33,E$4:E33,E33)</f>
        <v/>
      </c>
      <c r="Q33" s="51">
        <f>INDEX(Purchase!A$4:A$58,_xlfn.AGGREGATE(15,6,(ROW(Purchase!A$4:A$58)-ROW(Purchase!A$3))/(Purchase!D$4:D$58=D33)/(Purchase!E$4:E$58=E33)/(Purchase!N$4:N$57&gt;=P33),1))</f>
        <v/>
      </c>
      <c r="R33" s="20">
        <f>Q33=F33</f>
        <v/>
      </c>
    </row>
    <row r="34">
      <c r="A34" s="20" t="n">
        <v>31</v>
      </c>
      <c r="B34" s="12" t="n">
        <v>45162</v>
      </c>
      <c r="C34" s="25" t="inlineStr">
        <is>
          <t>Shopee</t>
        </is>
      </c>
      <c r="D34" s="19" t="inlineStr">
        <is>
          <t>[Person_16] Termina 2.0 Backpack</t>
        </is>
      </c>
      <c r="E34" s="20" t="inlineStr">
        <is>
          <t>Black</t>
        </is>
      </c>
      <c r="F34" s="12" t="n">
        <v>45136</v>
      </c>
      <c r="G34" s="12">
        <f t="array" ref="G34">INDEX(Purchase!$B$4:$B$51,MATCH(F34&amp;Sales!D34&amp;Sales!E34,Purchase!$A$4:$A$51&amp;Purchase!$D$4:$D$51&amp;Purchase!$E$4:$E$51,0))</f>
        <v/>
      </c>
      <c r="H34" s="21">
        <f t="array" ref="H34">INDEX(Purchase!$G$4:$G$51,MATCH(Sales!D34&amp;Sales!E34&amp;Sales!F34&amp;G34,Purchase!$D$4:$D$51&amp;Purchase!$E$4:$E$51&amp;Purchase!$A$4:$A$51&amp;Purchase!$B$4:$B$51,0))</f>
        <v/>
      </c>
      <c r="I34" s="21" t="n">
        <v>0</v>
      </c>
      <c r="J34" s="21">
        <f>I34-H34</f>
        <v/>
      </c>
      <c r="K34" s="21" t="n">
        <v>0</v>
      </c>
      <c r="L34" s="21">
        <f>J34-K34</f>
        <v/>
      </c>
      <c r="M34" s="21" t="inlineStr">
        <is>
          <t>Full Profit</t>
        </is>
      </c>
      <c r="N34" s="22">
        <f>(I34-H34)/H34</f>
        <v/>
      </c>
      <c r="O34" s="19" t="inlineStr">
        <is>
          <t>dikasih erwin</t>
        </is>
      </c>
      <c r="P34" s="20">
        <f>COUNTIFS(D$4:D34,D34,E$4:E34,E34)</f>
        <v/>
      </c>
      <c r="Q34" s="51">
        <f>INDEX(Purchase!A$4:A$58,_xlfn.AGGREGATE(15,6,(ROW(Purchase!A$4:A$58)-ROW(Purchase!A$3))/(Purchase!D$4:D$58=D34)/(Purchase!E$4:E$58=E34)/(Purchase!N$4:N$57&gt;=P34),1))</f>
        <v/>
      </c>
      <c r="R34" s="20">
        <f>Q34=F34</f>
        <v/>
      </c>
    </row>
    <row r="35">
      <c r="A35" s="20" t="n">
        <v>32</v>
      </c>
      <c r="B35" s="12" t="n">
        <v>45166</v>
      </c>
      <c r="C35" s="25" t="inlineStr">
        <is>
          <t>Tokopedia</t>
        </is>
      </c>
      <c r="D35" s="19" t="inlineStr">
        <is>
          <t>Eiger Meridian 30L Laptop Backpack</t>
        </is>
      </c>
      <c r="E35" s="20" t="inlineStr">
        <is>
          <t>[Person_17]</t>
        </is>
      </c>
      <c r="F35" s="12" t="n">
        <v>45146</v>
      </c>
      <c r="G35" s="12">
        <f t="array" ref="G35">INDEX(Purchase!$B$4:$B$51,MATCH(F35&amp;Sales!D35&amp;Sales!E35,Purchase!$A$4:$A$51&amp;Purchase!$D$4:$D$51&amp;Purchase!$E$4:$E$51,0))</f>
        <v/>
      </c>
      <c r="H35" s="21">
        <f t="array" ref="H35">INDEX(Purchase!$G$4:$G$51,MATCH(Sales!D35&amp;Sales!E35&amp;Sales!F35&amp;G35,Purchase!$D$4:$D$51&amp;Purchase!$E$4:$E$51&amp;Purchase!$A$4:$A$51&amp;Purchase!$B$4:$B$51,0))</f>
        <v/>
      </c>
      <c r="I35" s="21">
        <f>560000-(560000*3.8%)</f>
        <v/>
      </c>
      <c r="J35" s="21">
        <f>I35-H35</f>
        <v/>
      </c>
      <c r="K35" s="21" t="n">
        <v>0</v>
      </c>
      <c r="L35" s="21">
        <f>J35-K35</f>
        <v/>
      </c>
      <c r="M35" s="21" t="inlineStr">
        <is>
          <t>Full Profit</t>
        </is>
      </c>
      <c r="N35" s="22">
        <f>(I35-H35)/H35</f>
        <v/>
      </c>
      <c r="P35" s="20">
        <f>COUNTIFS(D$4:D35,D35,E$4:E35,E35)</f>
        <v/>
      </c>
      <c r="Q35" s="51">
        <f>INDEX(Purchase!A$4:A$58,_xlfn.AGGREGATE(15,6,(ROW(Purchase!A$4:A$58)-ROW(Purchase!A$3))/(Purchase!D$4:D$58=D35)/(Purchase!E$4:E$58=E35)/(Purchase!N$4:N$57&gt;=P35),1))</f>
        <v/>
      </c>
      <c r="R35" s="20">
        <f>Q35=F35</f>
        <v/>
      </c>
    </row>
    <row r="36">
      <c r="A36" s="20" t="n">
        <v>33</v>
      </c>
      <c r="B36" s="12" t="n">
        <v>45167</v>
      </c>
      <c r="C36" s="25" t="inlineStr">
        <is>
          <t>Tokopedia</t>
        </is>
      </c>
      <c r="D36" s="14" t="inlineStr">
        <is>
          <t>[Person_9] 20L Woman Backpack</t>
        </is>
      </c>
      <c r="E36" s="13" t="inlineStr">
        <is>
          <t>Burgundy</t>
        </is>
      </c>
      <c r="F36" s="12" t="n">
        <v>45146</v>
      </c>
      <c r="G36" s="12">
        <f t="array" ref="G36">INDEX(Purchase!$B$4:$B$51,MATCH(F36&amp;Sales!D36&amp;Sales!E36,Purchase!$A$4:$A$51&amp;Purchase!$D$4:$D$51&amp;Purchase!$E$4:$E$51,0))</f>
        <v/>
      </c>
      <c r="H36" s="21">
        <f t="array" ref="H36">INDEX(Purchase!$G$4:$G$51,MATCH(Sales!D36&amp;Sales!E36&amp;Sales!F36&amp;G36,Purchase!$D$4:$D$51&amp;Purchase!$E$4:$E$51&amp;Purchase!$A$4:$A$51&amp;Purchase!$B$4:$B$51,0))</f>
        <v/>
      </c>
      <c r="I36" s="21">
        <f>450000-(450000*4.5%)-10000</f>
        <v/>
      </c>
      <c r="J36" s="21">
        <f>I36-H36</f>
        <v/>
      </c>
      <c r="K36" s="21" t="n">
        <v>0</v>
      </c>
      <c r="L36" s="21">
        <f>J36-K36</f>
        <v/>
      </c>
      <c r="M36" s="21" t="inlineStr">
        <is>
          <t>Full Profit</t>
        </is>
      </c>
      <c r="N36" s="22">
        <f>(I36-H36)/H36</f>
        <v/>
      </c>
      <c r="P36" s="20">
        <f>COUNTIFS(D$4:D36,D36,E$4:E36,E36)</f>
        <v/>
      </c>
      <c r="Q36" s="51">
        <f>INDEX(Purchase!A$4:A$58,_xlfn.AGGREGATE(15,6,(ROW(Purchase!A$4:A$58)-ROW(Purchase!A$3))/(Purchase!D$4:D$58=D36)/(Purchase!E$4:E$58=E36)/(Purchase!N$4:N$57&gt;=P36),1))</f>
        <v/>
      </c>
      <c r="R36" s="20">
        <f>Q36=F36</f>
        <v/>
      </c>
    </row>
    <row r="37">
      <c r="A37" s="20" t="n">
        <v>34</v>
      </c>
      <c r="B37" s="12" t="n">
        <v>45175</v>
      </c>
      <c r="C37" s="25" t="inlineStr">
        <is>
          <t>Shopee</t>
        </is>
      </c>
      <c r="D37" s="19" t="inlineStr">
        <is>
          <t>Eiger Starter Daypack 16L</t>
        </is>
      </c>
      <c r="E37" s="20" t="inlineStr">
        <is>
          <t>Blue</t>
        </is>
      </c>
      <c r="F37" s="12" t="n">
        <v>45109</v>
      </c>
      <c r="G37" s="12">
        <f t="array" ref="G37">INDEX(Purchase!$B$4:$B$51,MATCH(F37&amp;Sales!D37&amp;Sales!E37,Purchase!$A$4:$A$51&amp;Purchase!$D$4:$D$51&amp;Purchase!$E$4:$E$51,0))</f>
        <v/>
      </c>
      <c r="H37" s="21">
        <f t="array" ref="H37">INDEX(Purchase!$G$4:$G$51,MATCH(Sales!D37&amp;Sales!E37&amp;Sales!F37&amp;G37,Purchase!$D$4:$D$51&amp;Purchase!$E$4:$E$51&amp;Purchase!$A$4:$A$51&amp;Purchase!$B$4:$B$51,0))</f>
        <v/>
      </c>
      <c r="I37" s="21" t="n">
        <v>297600</v>
      </c>
      <c r="J37" s="21">
        <f>I37-H37</f>
        <v/>
      </c>
      <c r="K37" s="21" t="n">
        <v>0</v>
      </c>
      <c r="L37" s="21">
        <f>J37-K37</f>
        <v/>
      </c>
      <c r="M37" s="21" t="inlineStr">
        <is>
          <t>Full Profit</t>
        </is>
      </c>
      <c r="N37" s="22">
        <f>(I37-H37)/H37</f>
        <v/>
      </c>
      <c r="P37" s="20">
        <f>COUNTIFS(D$4:D37,D37,E$4:E37,E37)</f>
        <v/>
      </c>
      <c r="Q37" s="51">
        <f>INDEX(Purchase!A$4:A$58,_xlfn.AGGREGATE(15,6,(ROW(Purchase!A$4:A$58)-ROW(Purchase!A$3))/(Purchase!D$4:D$58=D37)/(Purchase!E$4:E$58=E37)/(Purchase!N$4:N$57&gt;=P37),1))</f>
        <v/>
      </c>
      <c r="R37" s="20">
        <f>Q37=F37</f>
        <v/>
      </c>
    </row>
    <row r="38">
      <c r="A38" s="20" t="n">
        <v>35</v>
      </c>
      <c r="B38" s="12" t="n">
        <v>45178</v>
      </c>
      <c r="C38" s="25" t="inlineStr">
        <is>
          <t>Shopee</t>
        </is>
      </c>
      <c r="D38" s="19" t="inlineStr">
        <is>
          <t>[Person_2] Backpack 20L</t>
        </is>
      </c>
      <c r="E38" s="20" t="inlineStr">
        <is>
          <t>Navy</t>
        </is>
      </c>
      <c r="F38" s="12" t="n">
        <v>45146</v>
      </c>
      <c r="G38" s="12">
        <f t="array" ref="G38">INDEX(Purchase!$B$4:$B$51,MATCH(F38&amp;Sales!D38&amp;Sales!E38,Purchase!$A$4:$A$51&amp;Purchase!$D$4:$D$51&amp;Purchase!$E$4:$E$51,0))</f>
        <v/>
      </c>
      <c r="H38" s="21">
        <f t="array" ref="H38">INDEX(Purchase!$G$4:$G$51,MATCH(Sales!D38&amp;Sales!E38&amp;Sales!F38&amp;G38,Purchase!$D$4:$D$51&amp;Purchase!$E$4:$E$51&amp;Purchase!$A$4:$A$51&amp;Purchase!$B$4:$B$51,0))</f>
        <v/>
      </c>
      <c r="I38" s="21" t="n">
        <v>355200</v>
      </c>
      <c r="J38" s="21">
        <f>I38-H38</f>
        <v/>
      </c>
      <c r="K38" s="21" t="n">
        <v>0</v>
      </c>
      <c r="L38" s="21">
        <f>J38-K38</f>
        <v/>
      </c>
      <c r="M38" s="21" t="inlineStr">
        <is>
          <t>Full Profit</t>
        </is>
      </c>
      <c r="N38" s="22">
        <f>(I38-H38)/H38</f>
        <v/>
      </c>
      <c r="P38" s="20">
        <f>COUNTIFS(D$4:D38,D38,E$4:E38,E38)</f>
        <v/>
      </c>
      <c r="Q38" s="51">
        <f>INDEX(Purchase!A$4:A$58,_xlfn.AGGREGATE(15,6,(ROW(Purchase!A$4:A$58)-ROW(Purchase!A$3))/(Purchase!D$4:D$58=D38)/(Purchase!E$4:E$58=E38)/(Purchase!N$4:N$57&gt;=P38),1))</f>
        <v/>
      </c>
      <c r="R38" s="20">
        <f>Q38=F38</f>
        <v/>
      </c>
    </row>
    <row r="39">
      <c r="A39" s="20" t="n">
        <v>36</v>
      </c>
      <c r="B39" s="12" t="n">
        <v>45178</v>
      </c>
      <c r="C39" s="25" t="inlineStr">
        <is>
          <t>Shopee</t>
        </is>
      </c>
      <c r="D39" s="19" t="inlineStr">
        <is>
          <t>[Person_12]</t>
        </is>
      </c>
      <c r="E39" s="20" t="inlineStr">
        <is>
          <t>Olive</t>
        </is>
      </c>
      <c r="F39" s="12" t="n">
        <v>45172</v>
      </c>
      <c r="G39" s="12">
        <f t="array" ref="G39">INDEX(Purchase!$B$4:$B$51,MATCH(F39&amp;Sales!D39&amp;Sales!E39,Purchase!$A$4:$A$51&amp;Purchase!$D$4:$D$51&amp;Purchase!$E$4:$E$51,0))</f>
        <v/>
      </c>
      <c r="H39" s="21">
        <f t="array" ref="H39">INDEX(Purchase!$G$4:$G$51,MATCH(Sales!D39&amp;Sales!E39&amp;Sales!F39&amp;G39,Purchase!$D$4:$D$51&amp;Purchase!$E$4:$E$51&amp;Purchase!$A$4:$A$51&amp;Purchase!$B$4:$B$51,0))</f>
        <v/>
      </c>
      <c r="I39" s="21" t="n">
        <v>316800</v>
      </c>
      <c r="J39" s="21">
        <f>I39-H39</f>
        <v/>
      </c>
      <c r="K39" s="21" t="n">
        <v>0</v>
      </c>
      <c r="L39" s="21">
        <f>J39-K39</f>
        <v/>
      </c>
      <c r="M39" s="21" t="inlineStr">
        <is>
          <t>Full Profit</t>
        </is>
      </c>
      <c r="N39" s="22">
        <f>(I39-H39)/H39</f>
        <v/>
      </c>
      <c r="P39" s="20">
        <f>COUNTIFS(D$4:D39,D39,E$4:E39,E39)</f>
        <v/>
      </c>
      <c r="Q39" s="51">
        <f>INDEX(Purchase!A$4:A$58,_xlfn.AGGREGATE(15,6,(ROW(Purchase!A$4:A$58)-ROW(Purchase!A$3))/(Purchase!D$4:D$58=D39)/(Purchase!E$4:E$58=E39)/(Purchase!N$4:N$57&gt;=P39),1))</f>
        <v/>
      </c>
      <c r="R39" s="20">
        <f>Q39=F39</f>
        <v/>
      </c>
    </row>
    <row r="40">
      <c r="A40" s="20" t="n">
        <v>37</v>
      </c>
      <c r="B40" s="12" t="n">
        <v>45179</v>
      </c>
      <c r="C40" s="25" t="inlineStr">
        <is>
          <t>Tokopedia</t>
        </is>
      </c>
      <c r="D40" s="19" t="inlineStr">
        <is>
          <t>Eiger Forlough 20 Laptop Backpack</t>
        </is>
      </c>
      <c r="E40" s="20" t="inlineStr">
        <is>
          <t>Black</t>
        </is>
      </c>
      <c r="F40" s="12" t="n">
        <v>45178</v>
      </c>
      <c r="G40" s="12">
        <f t="array" ref="G40">INDEX(Purchase!$B$4:$B$51,MATCH(F40&amp;Sales!D40&amp;Sales!E40,Purchase!$A$4:$A$51&amp;Purchase!$D$4:$D$51&amp;Purchase!$E$4:$E$51,0))</f>
        <v/>
      </c>
      <c r="H40" s="21">
        <f t="array" ref="H40">INDEX(Purchase!$G$4:$G$51,MATCH(Sales!D40&amp;Sales!E40&amp;Sales!F40&amp;G40,Purchase!$D$4:$D$51&amp;Purchase!$E$4:$E$51&amp;Purchase!$A$4:$A$51&amp;Purchase!$B$4:$B$51,0))</f>
        <v/>
      </c>
      <c r="I40" s="21">
        <f>450000-(3.8%*450000)-10000</f>
        <v/>
      </c>
      <c r="J40" s="21">
        <f>I40-H40</f>
        <v/>
      </c>
      <c r="K40" s="21" t="n">
        <v>0</v>
      </c>
      <c r="L40" s="21">
        <f>J40-K40</f>
        <v/>
      </c>
      <c r="M40" s="21" t="inlineStr">
        <is>
          <t>Full Profit</t>
        </is>
      </c>
      <c r="N40" s="22">
        <f>(I40-H40)/H40</f>
        <v/>
      </c>
      <c r="P40" s="20">
        <f>COUNTIFS(D$4:D40,D40,E$4:E40,E40)</f>
        <v/>
      </c>
      <c r="Q40" s="51">
        <f>INDEX(Purchase!A$4:A$58,_xlfn.AGGREGATE(15,6,(ROW(Purchase!A$4:A$58)-ROW(Purchase!A$3))/(Purchase!D$4:D$58=D40)/(Purchase!E$4:E$58=E40)/(Purchase!N$4:N$57&gt;=P40),1))</f>
        <v/>
      </c>
      <c r="R40" s="20">
        <f>Q40=F40</f>
        <v/>
      </c>
    </row>
    <row r="41">
      <c r="A41" s="20" t="n">
        <v>38</v>
      </c>
      <c r="B41" s="12" t="n">
        <v>45182</v>
      </c>
      <c r="C41" s="25" t="inlineStr">
        <is>
          <t>Tokopedia</t>
        </is>
      </c>
      <c r="D41" s="19" t="inlineStr">
        <is>
          <t>Eiger Meridian 30L Laptop Backpack</t>
        </is>
      </c>
      <c r="E41" s="20" t="inlineStr">
        <is>
          <t>[Person_17]</t>
        </is>
      </c>
      <c r="F41" s="12" t="n">
        <v>45147</v>
      </c>
      <c r="G41" s="12">
        <f t="array" ref="G41">INDEX(Purchase!$B$4:$B$51,MATCH(F41&amp;Sales!D41&amp;Sales!E41,Purchase!$A$4:$A$51&amp;Purchase!$D$4:$D$51&amp;Purchase!$E$4:$E$51,0))</f>
        <v/>
      </c>
      <c r="H41" s="21">
        <f t="array" ref="H41">INDEX(Purchase!$G$4:$G$51,MATCH(Sales!D41&amp;Sales!E41&amp;Sales!F41&amp;G41,Purchase!$D$4:$D$51&amp;Purchase!$E$4:$E$51&amp;Purchase!$A$4:$A$51&amp;Purchase!$B$4:$B$51,0))</f>
        <v/>
      </c>
      <c r="I41" s="21">
        <f>560000-(560000*3.8%)-10000</f>
        <v/>
      </c>
      <c r="J41" s="21">
        <f>I41-H41</f>
        <v/>
      </c>
      <c r="K41" s="21" t="n">
        <v>0</v>
      </c>
      <c r="L41" s="21">
        <f>J41-K41</f>
        <v/>
      </c>
      <c r="M41" s="21" t="inlineStr">
        <is>
          <t>Full Profit</t>
        </is>
      </c>
      <c r="N41" s="22">
        <f>(I41-H41)/H41</f>
        <v/>
      </c>
      <c r="P41" s="20">
        <f>COUNTIFS(D$4:D41,D41,E$4:E41,E41)</f>
        <v/>
      </c>
      <c r="Q41" s="51">
        <f>INDEX(Purchase!A$4:A$58,_xlfn.AGGREGATE(15,6,(ROW(Purchase!A$4:A$58)-ROW(Purchase!A$3))/(Purchase!D$4:D$58=D41)/(Purchase!E$4:E$58=E41)/(Purchase!N$4:N$57&gt;=P41),1))</f>
        <v/>
      </c>
      <c r="R41" s="20">
        <f>Q41=F41</f>
        <v/>
      </c>
    </row>
    <row r="42">
      <c r="A42" s="20" t="n">
        <v>39</v>
      </c>
      <c r="B42" s="12" t="n">
        <v>45183</v>
      </c>
      <c r="C42" s="25" t="inlineStr">
        <is>
          <t>Shopee</t>
        </is>
      </c>
      <c r="D42" s="19" t="inlineStr">
        <is>
          <t>Eiger Starter Daypack 16L</t>
        </is>
      </c>
      <c r="E42" s="20" t="inlineStr">
        <is>
          <t>Blue</t>
        </is>
      </c>
      <c r="F42" s="12" t="n">
        <v>45109</v>
      </c>
      <c r="G42" s="12">
        <f t="array" ref="G42">INDEX(Purchase!$B$4:$B$51,MATCH(F42&amp;Sales!D42&amp;Sales!E42,Purchase!$A$4:$A$51&amp;Purchase!$D$4:$D$51&amp;Purchase!$E$4:$E$51,0))</f>
        <v/>
      </c>
      <c r="H42" s="21">
        <f t="array" ref="H42">INDEX(Purchase!$G$4:$G$51,MATCH(Sales!D42&amp;Sales!E42&amp;Sales!F42&amp;G42,Purchase!$D$4:$D$51&amp;Purchase!$E$4:$E$51&amp;Purchase!$A$4:$A$51&amp;Purchase!$B$4:$B$51,0))</f>
        <v/>
      </c>
      <c r="I42" s="21" t="n">
        <v>283200</v>
      </c>
      <c r="J42" s="21">
        <f>I42-H42</f>
        <v/>
      </c>
      <c r="K42" s="21" t="n">
        <v>0</v>
      </c>
      <c r="L42" s="21">
        <f>J42-K42</f>
        <v/>
      </c>
      <c r="M42" s="21" t="inlineStr">
        <is>
          <t>Full Profit</t>
        </is>
      </c>
      <c r="N42" s="22">
        <f>(I42-H42)/H42</f>
        <v/>
      </c>
      <c r="P42" s="20">
        <f>COUNTIFS(D$4:D42,D42,E$4:E42,E42)</f>
        <v/>
      </c>
      <c r="Q42" s="51">
        <f>INDEX(Purchase!A$4:A$58,_xlfn.AGGREGATE(15,6,(ROW(Purchase!A$4:A$58)-ROW(Purchase!A$3))/(Purchase!D$4:D$58=D42)/(Purchase!E$4:E$58=E42)/(Purchase!N$4:N$57&gt;=P42),1))</f>
        <v/>
      </c>
      <c r="R42" s="20">
        <f>Q42=F42</f>
        <v/>
      </c>
    </row>
    <row r="43">
      <c r="A43" s="20" t="n">
        <v>40</v>
      </c>
      <c r="B43" s="12" t="n">
        <v>45188</v>
      </c>
      <c r="C43" s="25" t="inlineStr">
        <is>
          <t>Tokopedia</t>
        </is>
      </c>
      <c r="D43" s="19" t="inlineStr">
        <is>
          <t>[Person_10] 20L Laptop Backpack</t>
        </is>
      </c>
      <c r="E43" s="20" t="inlineStr">
        <is>
          <t>Navy</t>
        </is>
      </c>
      <c r="F43" s="12" t="n">
        <v>45178</v>
      </c>
      <c r="G43" s="12">
        <f t="array" ref="G43">INDEX(Purchase!$B$4:$B$51,MATCH(F43&amp;Sales!D43&amp;Sales!E43,Purchase!$A$4:$A$51&amp;Purchase!$D$4:$D$51&amp;Purchase!$E$4:$E$51,0))</f>
        <v/>
      </c>
      <c r="H43" s="21">
        <f t="array" ref="H43">INDEX(Purchase!$G$4:$G$51,MATCH(Sales!D43&amp;Sales!E43&amp;Sales!F43&amp;G43,Purchase!$D$4:$D$51&amp;Purchase!$E$4:$E$51&amp;Purchase!$A$4:$A$51&amp;Purchase!$B$4:$B$51,0))</f>
        <v/>
      </c>
      <c r="I43" s="21">
        <f>450000-(4.5%*450000)-10000</f>
        <v/>
      </c>
      <c r="J43" s="21">
        <f>I43-H43</f>
        <v/>
      </c>
      <c r="K43" s="21" t="n">
        <v>0</v>
      </c>
      <c r="L43" s="21">
        <f>J43-K43</f>
        <v/>
      </c>
      <c r="M43" s="21" t="inlineStr">
        <is>
          <t>Full Profit</t>
        </is>
      </c>
      <c r="N43" s="22">
        <f>(I43-H43)/H43</f>
        <v/>
      </c>
      <c r="P43" s="20">
        <f>COUNTIFS(D$4:D43,D43,E$4:E43,E43)</f>
        <v/>
      </c>
      <c r="Q43" s="51">
        <f>INDEX(Purchase!A$4:A$58,_xlfn.AGGREGATE(15,6,(ROW(Purchase!A$4:A$58)-ROW(Purchase!A$3))/(Purchase!D$4:D$58=D43)/(Purchase!E$4:E$58=E43)/(Purchase!N$4:N$57&gt;=P43),1))</f>
        <v/>
      </c>
      <c r="R43" s="20">
        <f>Q43=F43</f>
        <v/>
      </c>
    </row>
    <row r="44">
      <c r="A44" s="20" t="n">
        <v>41</v>
      </c>
      <c r="B44" s="12" t="n">
        <v>45189</v>
      </c>
      <c r="C44" s="25" t="inlineStr">
        <is>
          <t>Tokopedia</t>
        </is>
      </c>
      <c r="D44" s="19" t="inlineStr">
        <is>
          <t>Eiger Meridian 30L Laptop Backpack</t>
        </is>
      </c>
      <c r="E44" s="20" t="inlineStr">
        <is>
          <t>Black</t>
        </is>
      </c>
      <c r="F44" s="12" t="n">
        <v>45114</v>
      </c>
      <c r="G44" s="12">
        <f t="array" ref="G44">INDEX(Purchase!$B$4:$B$51,MATCH(F44&amp;Sales!D44&amp;Sales!E44,Purchase!$A$4:$A$51&amp;Purchase!$D$4:$D$51&amp;Purchase!$E$4:$E$51,0))</f>
        <v/>
      </c>
      <c r="H44" s="21">
        <f t="array" ref="H44">INDEX(Purchase!$G$4:$G$51,MATCH(Sales!D44&amp;Sales!E44&amp;Sales!F44&amp;G44,Purchase!$D$4:$D$51&amp;Purchase!$E$4:$E$51&amp;Purchase!$A$4:$A$51&amp;Purchase!$B$4:$B$51,0))</f>
        <v/>
      </c>
      <c r="I44" s="21">
        <f>560000-(3.8%*560000)-9000</f>
        <v/>
      </c>
      <c r="J44" s="21">
        <f>I44-H44</f>
        <v/>
      </c>
      <c r="K44" s="21" t="n">
        <v>0</v>
      </c>
      <c r="L44" s="21">
        <f>J44-K44</f>
        <v/>
      </c>
      <c r="M44" s="21" t="inlineStr">
        <is>
          <t>Full Profit</t>
        </is>
      </c>
      <c r="N44" s="22">
        <f>(I44-H44)/H44</f>
        <v/>
      </c>
      <c r="P44" s="20">
        <f>COUNTIFS(D$4:D44,D44,E$4:E44,E44)</f>
        <v/>
      </c>
      <c r="Q44" s="51">
        <f>INDEX(Purchase!A$4:A$58,_xlfn.AGGREGATE(15,6,(ROW(Purchase!A$4:A$58)-ROW(Purchase!A$3))/(Purchase!D$4:D$58=D44)/(Purchase!E$4:E$58=E44)/(Purchase!N$4:N$57&gt;=P44),1))</f>
        <v/>
      </c>
      <c r="R44" s="20">
        <f>Q44=F44</f>
        <v/>
      </c>
    </row>
    <row r="45">
      <c r="A45" s="20" t="n">
        <v>42</v>
      </c>
      <c r="B45" s="12" t="n">
        <v>45196</v>
      </c>
      <c r="C45" s="25" t="inlineStr">
        <is>
          <t>Shopee</t>
        </is>
      </c>
      <c r="D45" s="19" t="inlineStr">
        <is>
          <t>[Person_2] Backpack 20L</t>
        </is>
      </c>
      <c r="E45" s="20" t="inlineStr">
        <is>
          <t>Black</t>
        </is>
      </c>
      <c r="F45" s="12" t="n">
        <v>45139</v>
      </c>
      <c r="G45" s="12">
        <f t="array" ref="G45">INDEX(Purchase!$B$4:$B$51,MATCH(F45&amp;Sales!D45&amp;Sales!E45,Purchase!$A$4:$A$51&amp;Purchase!$D$4:$D$51&amp;Purchase!$E$4:$E$51,0))</f>
        <v/>
      </c>
      <c r="H45" s="21">
        <f t="array" ref="H45">INDEX(Purchase!$G$4:$G$51,MATCH(Sales!D45&amp;Sales!E45&amp;Sales!F45&amp;G45,Purchase!$D$4:$D$51&amp;Purchase!$E$4:$E$51&amp;Purchase!$A$4:$A$51&amp;Purchase!$B$4:$B$51,0))</f>
        <v/>
      </c>
      <c r="I45" s="21" t="n">
        <v>355200</v>
      </c>
      <c r="J45" s="21">
        <f>I45-H45</f>
        <v/>
      </c>
      <c r="K45" s="21" t="n">
        <v>0</v>
      </c>
      <c r="L45" s="21">
        <f>J45-K45</f>
        <v/>
      </c>
      <c r="M45" s="21" t="inlineStr">
        <is>
          <t>Full Profit</t>
        </is>
      </c>
      <c r="N45" s="22">
        <f>(I45-H45)/H45</f>
        <v/>
      </c>
      <c r="P45" s="20">
        <f>COUNTIFS(D$4:D45,D45,E$4:E45,E45)</f>
        <v/>
      </c>
      <c r="Q45" s="51">
        <f>INDEX(Purchase!A$4:A$58,_xlfn.AGGREGATE(15,6,(ROW(Purchase!A$4:A$58)-ROW(Purchase!A$3))/(Purchase!D$4:D$58=D45)/(Purchase!E$4:E$58=E45)/(Purchase!N$4:N$57&gt;=P45),1))</f>
        <v/>
      </c>
      <c r="R45" s="20">
        <f>Q45=F45</f>
        <v/>
      </c>
    </row>
    <row r="46">
      <c r="A46" s="20" t="n">
        <v>43</v>
      </c>
      <c r="B46" s="12" t="n">
        <v>45196</v>
      </c>
      <c r="C46" s="25" t="inlineStr">
        <is>
          <t>Tokopedia</t>
        </is>
      </c>
      <c r="D46" s="14" t="inlineStr">
        <is>
          <t>[Person_9] 20L Woman Backpack</t>
        </is>
      </c>
      <c r="E46" s="20" t="inlineStr">
        <is>
          <t>[Person_8]</t>
        </is>
      </c>
      <c r="F46" s="12" t="n">
        <v>45146</v>
      </c>
      <c r="G46" s="12">
        <f t="array" ref="G46">INDEX(Purchase!$B$4:$B$51,MATCH(F46&amp;Sales!D46&amp;Sales!E46,Purchase!$A$4:$A$51&amp;Purchase!$D$4:$D$51&amp;Purchase!$E$4:$E$51,0))</f>
        <v/>
      </c>
      <c r="H46" s="21">
        <f t="array" ref="H46">INDEX(Purchase!$G$4:$G$51,MATCH(Sales!D46&amp;Sales!E46&amp;Sales!F46&amp;G46,Purchase!$D$4:$D$51&amp;Purchase!$E$4:$E$51&amp;Purchase!$A$4:$A$51&amp;Purchase!$B$4:$B$51,0))</f>
        <v/>
      </c>
      <c r="I46" s="21">
        <f>450000-(4.5%*450000)-10000</f>
        <v/>
      </c>
      <c r="J46" s="21">
        <f>I46-H46</f>
        <v/>
      </c>
      <c r="K46" s="21" t="n">
        <v>0</v>
      </c>
      <c r="L46" s="21">
        <f>J46-K46</f>
        <v/>
      </c>
      <c r="M46" s="21" t="inlineStr">
        <is>
          <t>Full Profit</t>
        </is>
      </c>
      <c r="N46" s="22">
        <f>(I46-H46)/H46</f>
        <v/>
      </c>
      <c r="P46" s="20">
        <f>COUNTIFS(D$4:D46,D46,E$4:E46,E46)</f>
        <v/>
      </c>
      <c r="Q46" s="51">
        <f>INDEX(Purchase!A$4:A$58,_xlfn.AGGREGATE(15,6,(ROW(Purchase!A$4:A$58)-ROW(Purchase!A$3))/(Purchase!D$4:D$58=D46)/(Purchase!E$4:E$58=E46)/(Purchase!N$4:N$57&gt;=P46),1))</f>
        <v/>
      </c>
      <c r="R46" s="20">
        <f>Q46=F46</f>
        <v/>
      </c>
    </row>
    <row r="47">
      <c r="A47" s="20" t="n">
        <v>44</v>
      </c>
      <c r="B47" s="12" t="n">
        <v>45196</v>
      </c>
      <c r="C47" s="25" t="inlineStr">
        <is>
          <t>Tokopedia</t>
        </is>
      </c>
      <c r="D47" s="14" t="inlineStr">
        <is>
          <t>[Person_2] Backpack 20L</t>
        </is>
      </c>
      <c r="E47" s="20" t="inlineStr">
        <is>
          <t>Black</t>
        </is>
      </c>
      <c r="F47" s="12" t="n">
        <v>45139</v>
      </c>
      <c r="G47" s="12">
        <f t="array" ref="G47">INDEX(Purchase!$B$4:$B$51,MATCH(F47&amp;Sales!D47&amp;Sales!E47,Purchase!$A$4:$A$51&amp;Purchase!$D$4:$D$51&amp;Purchase!$E$4:$E$51,0))</f>
        <v/>
      </c>
      <c r="H47" s="21">
        <f t="array" ref="H47">INDEX(Purchase!$G$4:$G$51,MATCH(Sales!D47&amp;Sales!E47&amp;Sales!F47&amp;G47,Purchase!$D$4:$D$51&amp;Purchase!$E$4:$E$51&amp;Purchase!$A$4:$A$51&amp;Purchase!$B$4:$B$51,0))</f>
        <v/>
      </c>
      <c r="I47" s="21">
        <f>370000-(4.5%*370000)-10000</f>
        <v/>
      </c>
      <c r="J47" s="21">
        <f>I47-H47</f>
        <v/>
      </c>
      <c r="K47" s="21" t="n">
        <v>0</v>
      </c>
      <c r="L47" s="21">
        <f>J47-K47</f>
        <v/>
      </c>
      <c r="M47" s="21" t="inlineStr">
        <is>
          <t>Full Profit</t>
        </is>
      </c>
      <c r="N47" s="22">
        <f>(I47-H47)/H47</f>
        <v/>
      </c>
      <c r="P47" s="20">
        <f>COUNTIFS(D$4:D47,D47,E$4:E47,E47)</f>
        <v/>
      </c>
      <c r="Q47" s="51">
        <f>INDEX(Purchase!A$4:A$58,_xlfn.AGGREGATE(15,6,(ROW(Purchase!A$4:A$58)-ROW(Purchase!A$3))/(Purchase!D$4:D$58=D47)/(Purchase!E$4:E$58=E47)/(Purchase!N$4:N$57&gt;=P47),1))</f>
        <v/>
      </c>
      <c r="R47" s="20">
        <f>Q47=F47</f>
        <v/>
      </c>
    </row>
    <row r="48">
      <c r="A48" s="20" t="n">
        <v>45</v>
      </c>
      <c r="B48" s="12" t="n">
        <v>45197</v>
      </c>
      <c r="C48" s="25" t="inlineStr">
        <is>
          <t>Tokopedia</t>
        </is>
      </c>
      <c r="D48" s="19" t="inlineStr">
        <is>
          <t>[Person_15] 2.0 Laptop Backpack 20L</t>
        </is>
      </c>
      <c r="E48" s="20" t="inlineStr">
        <is>
          <t>Black</t>
        </is>
      </c>
      <c r="F48" s="12" t="n">
        <v>45114</v>
      </c>
      <c r="G48" s="12">
        <f t="array" ref="G48">INDEX(Purchase!$B$4:$B$51,MATCH(F48&amp;Sales!D48&amp;Sales!E48,Purchase!$A$4:$A$51&amp;Purchase!$D$4:$D$51&amp;Purchase!$E$4:$E$51,0))</f>
        <v/>
      </c>
      <c r="H48" s="21">
        <f t="array" ref="H48">INDEX(Purchase!$G$4:$G$51,MATCH(Sales!D48&amp;Sales!E48&amp;Sales!F48&amp;G48,Purchase!$D$4:$D$51&amp;Purchase!$E$4:$E$51&amp;Purchase!$A$4:$A$51&amp;Purchase!$B$4:$B$51,0))</f>
        <v/>
      </c>
      <c r="I48" s="21">
        <f>395000-(3.8%*395000)-10000</f>
        <v/>
      </c>
      <c r="J48" s="21">
        <f>I48-H48</f>
        <v/>
      </c>
      <c r="K48" s="21" t="n">
        <v>0</v>
      </c>
      <c r="L48" s="21">
        <f>J48-K48</f>
        <v/>
      </c>
      <c r="M48" s="21" t="inlineStr">
        <is>
          <t>Full Profit</t>
        </is>
      </c>
      <c r="N48" s="22">
        <f>(I48-H48)/H48</f>
        <v/>
      </c>
      <c r="P48" s="20">
        <f>COUNTIFS(D$4:D48,D48,E$4:E48,E48)</f>
        <v/>
      </c>
      <c r="Q48" s="51">
        <f>INDEX(Purchase!A$4:A$58,_xlfn.AGGREGATE(15,6,(ROW(Purchase!A$4:A$58)-ROW(Purchase!A$3))/(Purchase!D$4:D$58=D48)/(Purchase!E$4:E$58=E48)/(Purchase!N$4:N$57&gt;=P48),1))</f>
        <v/>
      </c>
      <c r="R48" s="20">
        <f>Q48=F48</f>
        <v/>
      </c>
    </row>
    <row r="49">
      <c r="A49" s="20" t="n">
        <v>46</v>
      </c>
      <c r="B49" s="12" t="n">
        <v>45198</v>
      </c>
      <c r="C49" s="25" t="inlineStr">
        <is>
          <t>Tokopedia</t>
        </is>
      </c>
      <c r="D49" s="19" t="inlineStr">
        <is>
          <t>[Person_12]</t>
        </is>
      </c>
      <c r="E49" s="20" t="inlineStr">
        <is>
          <t>Olive</t>
        </is>
      </c>
      <c r="F49" s="12" t="n">
        <v>45178</v>
      </c>
      <c r="G49" s="12">
        <f t="array" ref="G49">INDEX(Purchase!$B$4:$B$51,MATCH(F49&amp;Sales!D49&amp;Sales!E49,Purchase!$A$4:$A$51&amp;Purchase!$D$4:$D$51&amp;Purchase!$E$4:$E$51,0))</f>
        <v/>
      </c>
      <c r="H49" s="21">
        <f t="array" ref="H49">INDEX(Purchase!$G$4:$G$51,MATCH(Sales!D49&amp;Sales!E49&amp;Sales!F49&amp;G49,Purchase!$D$4:$D$51&amp;Purchase!$E$4:$E$51&amp;Purchase!$A$4:$A$51&amp;Purchase!$B$4:$B$51,0))</f>
        <v/>
      </c>
      <c r="I49" s="21">
        <f>330000-(4.5%*330000)-10000</f>
        <v/>
      </c>
      <c r="J49" s="21">
        <f>I49-H49</f>
        <v/>
      </c>
      <c r="K49" s="21" t="n">
        <v>0</v>
      </c>
      <c r="L49" s="21">
        <f>J49-K49</f>
        <v/>
      </c>
      <c r="M49" s="21" t="inlineStr">
        <is>
          <t>Full Profit</t>
        </is>
      </c>
      <c r="N49" s="22">
        <f>(I49-H49)/H49</f>
        <v/>
      </c>
      <c r="P49" s="20">
        <f>COUNTIFS(D$4:D49,D49,E$4:E49,E49)</f>
        <v/>
      </c>
      <c r="Q49" s="51">
        <f>INDEX(Purchase!A$4:A$58,_xlfn.AGGREGATE(15,6,(ROW(Purchase!A$4:A$58)-ROW(Purchase!A$3))/(Purchase!D$4:D$58=D49)/(Purchase!E$4:E$58=E49)/(Purchase!N$4:N$57&gt;=P49),1))</f>
        <v/>
      </c>
      <c r="R49" s="20">
        <f>Q49=F49</f>
        <v/>
      </c>
    </row>
    <row r="50">
      <c r="A50" s="20" t="n">
        <v>47</v>
      </c>
      <c r="B50" s="12" t="n">
        <v>45199</v>
      </c>
      <c r="C50" s="25" t="inlineStr">
        <is>
          <t>Shopee</t>
        </is>
      </c>
      <c r="D50" s="19" t="inlineStr">
        <is>
          <t>[Person_6] 15 Laptop Backpack</t>
        </is>
      </c>
      <c r="E50" s="20" t="inlineStr">
        <is>
          <t>Navy</t>
        </is>
      </c>
      <c r="F50" s="12" t="n">
        <v>45114</v>
      </c>
      <c r="G50" s="12">
        <f t="array" ref="G50">INDEX(Purchase!$B$4:$B$51,MATCH(F50&amp;Sales!D50&amp;Sales!E50,Purchase!$A$4:$A$51&amp;Purchase!$D$4:$D$51&amp;Purchase!$E$4:$E$51,0))</f>
        <v/>
      </c>
      <c r="H50" s="21">
        <f t="array" ref="H50">INDEX(Purchase!$G$4:$G$51,MATCH(Sales!D50&amp;Sales!E50&amp;Sales!F50&amp;G50,Purchase!$D$4:$D$51&amp;Purchase!$E$4:$E$51&amp;Purchase!$A$4:$A$51&amp;Purchase!$B$4:$B$51,0))</f>
        <v/>
      </c>
      <c r="I50" s="21" t="n">
        <v>297600</v>
      </c>
      <c r="J50" s="21">
        <f>I50-H50</f>
        <v/>
      </c>
      <c r="K50" s="21" t="n">
        <v>0</v>
      </c>
      <c r="L50" s="21">
        <f>J50-K50</f>
        <v/>
      </c>
      <c r="M50" s="21" t="inlineStr">
        <is>
          <t>Full Profit</t>
        </is>
      </c>
      <c r="N50" s="22">
        <f>(I50-H50)/H50</f>
        <v/>
      </c>
      <c r="P50" s="20">
        <f>COUNTIFS(D$4:D50,D50,E$4:E50,E50)</f>
        <v/>
      </c>
      <c r="Q50" s="51">
        <f>INDEX(Purchase!A$4:A$58,_xlfn.AGGREGATE(15,6,(ROW(Purchase!A$4:A$58)-ROW(Purchase!A$3))/(Purchase!D$4:D$58=D50)/(Purchase!E$4:E$58=E50)/(Purchase!N$4:N$57&gt;=P50),1))</f>
        <v/>
      </c>
      <c r="R50" s="20">
        <f>Q50=F50</f>
        <v/>
      </c>
    </row>
    <row r="51">
      <c r="A51" s="20" t="n">
        <v>48</v>
      </c>
      <c r="B51" s="12" t="n">
        <v>45202</v>
      </c>
      <c r="C51" s="25" t="inlineStr">
        <is>
          <t>Shopee</t>
        </is>
      </c>
      <c r="D51" s="19" t="inlineStr">
        <is>
          <t>Eiger Meridian 30L Laptop Backpack</t>
        </is>
      </c>
      <c r="E51" s="20" t="inlineStr">
        <is>
          <t>Black</t>
        </is>
      </c>
      <c r="F51" s="12" t="n">
        <v>45114</v>
      </c>
      <c r="G51" s="12">
        <f t="array" ref="G51">INDEX(Purchase!$B$4:$B$51,MATCH(F51&amp;Sales!D51&amp;Sales!E51,Purchase!$A$4:$A$51&amp;Purchase!$D$4:$D$51&amp;Purchase!$E$4:$E$51,0))</f>
        <v/>
      </c>
      <c r="H51" s="21">
        <f t="array" ref="H51">INDEX(Purchase!$G$4:$G$51,MATCH(Sales!D51&amp;Sales!E51&amp;Sales!F51&amp;G51,Purchase!$D$4:$D$51&amp;Purchase!$E$4:$E$51&amp;Purchase!$A$4:$A$51&amp;Purchase!$B$4:$B$51,0))</f>
        <v/>
      </c>
      <c r="I51" s="21" t="n">
        <v>523200</v>
      </c>
      <c r="J51" s="21">
        <f>I51-H51</f>
        <v/>
      </c>
      <c r="K51" s="21" t="n">
        <v>0</v>
      </c>
      <c r="L51" s="21">
        <f>J51-K51</f>
        <v/>
      </c>
      <c r="M51" s="21" t="inlineStr">
        <is>
          <t>Full Profit</t>
        </is>
      </c>
      <c r="N51" s="22">
        <f>(I51-H51)/H51</f>
        <v/>
      </c>
      <c r="P51" s="20">
        <f>COUNTIFS(D$4:D51,D51,E$4:E51,E51)</f>
        <v/>
      </c>
      <c r="Q51" s="51">
        <f>INDEX(Purchase!A$4:A$58,_xlfn.AGGREGATE(15,6,(ROW(Purchase!A$4:A$58)-ROW(Purchase!A$3))/(Purchase!D$4:D$58=D51)/(Purchase!E$4:E$58=E51)/(Purchase!N$4:N$57&gt;=P51),1))</f>
        <v/>
      </c>
      <c r="R51" s="20">
        <f>Q51=F51</f>
        <v/>
      </c>
    </row>
    <row r="52">
      <c r="A52" s="20" t="n">
        <v>49</v>
      </c>
      <c r="B52" s="12" t="n">
        <v>45202</v>
      </c>
      <c r="C52" s="25" t="inlineStr">
        <is>
          <t>Shopee</t>
        </is>
      </c>
      <c r="D52" s="19" t="inlineStr">
        <is>
          <t>[Person_5] Pack 20L Backpack</t>
        </is>
      </c>
      <c r="E52" s="20" t="inlineStr">
        <is>
          <t>Green</t>
        </is>
      </c>
      <c r="F52" s="12" t="n">
        <v>45114</v>
      </c>
      <c r="G52" s="12">
        <f t="array" ref="G52">INDEX(Purchase!$B$4:$B$51,MATCH(F52&amp;Sales!D52&amp;Sales!E52,Purchase!$A$4:$A$51&amp;Purchase!$D$4:$D$51&amp;Purchase!$E$4:$E$51,0))</f>
        <v/>
      </c>
      <c r="H52" s="21">
        <f t="array" ref="H52">INDEX(Purchase!$G$4:$G$51,MATCH(Sales!D52&amp;Sales!E52&amp;Sales!F52&amp;G52,Purchase!$D$4:$D$51&amp;Purchase!$E$4:$E$51&amp;Purchase!$A$4:$A$51&amp;Purchase!$B$4:$B$51,0))</f>
        <v/>
      </c>
      <c r="I52" s="21" t="n">
        <v>340800</v>
      </c>
      <c r="J52" s="21">
        <f>I52-H52</f>
        <v/>
      </c>
      <c r="K52" s="21" t="n">
        <v>0</v>
      </c>
      <c r="L52" s="21">
        <f>J52-K52</f>
        <v/>
      </c>
      <c r="M52" s="21" t="inlineStr">
        <is>
          <t>Full Profit</t>
        </is>
      </c>
      <c r="N52" s="22">
        <f>(I52-H52)/H52</f>
        <v/>
      </c>
      <c r="P52" s="20">
        <f>COUNTIFS(D$4:D52,D52,E$4:E52,E52)</f>
        <v/>
      </c>
      <c r="Q52" s="51">
        <f>INDEX(Purchase!A$4:A$58,_xlfn.AGGREGATE(15,6,(ROW(Purchase!A$4:A$58)-ROW(Purchase!A$3))/(Purchase!D$4:D$58=D52)/(Purchase!E$4:E$58=E52)/(Purchase!N$4:N$57&gt;=P52),1))</f>
        <v/>
      </c>
      <c r="R52" s="20">
        <f>Q52=F52</f>
        <v/>
      </c>
    </row>
    <row r="53">
      <c r="A53" s="20" t="n">
        <v>50</v>
      </c>
      <c r="B53" s="12" t="n">
        <v>45204</v>
      </c>
      <c r="C53" s="25" t="inlineStr">
        <is>
          <t>Lazada</t>
        </is>
      </c>
      <c r="D53" s="19" t="inlineStr">
        <is>
          <t>[Person_12]</t>
        </is>
      </c>
      <c r="E53" s="20" t="inlineStr">
        <is>
          <t>Navy</t>
        </is>
      </c>
      <c r="F53" s="12" t="n">
        <v>45114</v>
      </c>
      <c r="G53" s="12">
        <f t="array" ref="G53">INDEX(Purchase!$B$4:$B$51,MATCH(F53&amp;Sales!D53&amp;Sales!E53,Purchase!$A$4:$A$51&amp;Purchase!$D$4:$D$51&amp;Purchase!$E$4:$E$51,0))</f>
        <v/>
      </c>
      <c r="H53" s="21">
        <f t="array" ref="H53">INDEX(Purchase!$G$4:$G$51,MATCH(Sales!D53&amp;Sales!E53&amp;Sales!F53&amp;G53,Purchase!$D$4:$D$51&amp;Purchase!$E$4:$E$51&amp;Purchase!$A$4:$A$51&amp;Purchase!$B$4:$B$51,0))</f>
        <v/>
      </c>
      <c r="I53" s="21">
        <f>336000-(4.5%*336000)-10000</f>
        <v/>
      </c>
      <c r="J53" s="21">
        <f>I53-H53</f>
        <v/>
      </c>
      <c r="K53" s="21" t="n">
        <v>0</v>
      </c>
      <c r="L53" s="21">
        <f>J53-K53</f>
        <v/>
      </c>
      <c r="M53" s="21" t="inlineStr">
        <is>
          <t>Full Profit</t>
        </is>
      </c>
      <c r="N53" s="22">
        <f>(I53-H53)/H53</f>
        <v/>
      </c>
      <c r="P53" s="20">
        <f>COUNTIFS(D$4:D53,D53,E$4:E53,E53)</f>
        <v/>
      </c>
      <c r="Q53" s="51">
        <f>INDEX(Purchase!A$4:A$58,_xlfn.AGGREGATE(15,6,(ROW(Purchase!A$4:A$58)-ROW(Purchase!A$3))/(Purchase!D$4:D$58=D53)/(Purchase!E$4:E$58=E53)/(Purchase!N$4:N$57&gt;=P53),1))</f>
        <v/>
      </c>
      <c r="R53" s="20">
        <f>Q53=F53</f>
        <v/>
      </c>
    </row>
    <row r="54">
      <c r="A54" s="20" t="n">
        <v>51</v>
      </c>
      <c r="B54" s="12" t="n">
        <v>45205</v>
      </c>
      <c r="C54" s="25" t="inlineStr">
        <is>
          <t>Shopee</t>
        </is>
      </c>
      <c r="D54" s="19" t="inlineStr">
        <is>
          <t>[Person_11] 25L</t>
        </is>
      </c>
      <c r="E54" s="20" t="inlineStr">
        <is>
          <t>Black</t>
        </is>
      </c>
      <c r="F54" s="12" t="n">
        <v>45178</v>
      </c>
      <c r="G54" s="12">
        <f t="array" ref="G54">INDEX(Purchase!$B$4:$B$51,MATCH(F54&amp;Sales!D54&amp;Sales!E54,Purchase!$A$4:$A$51&amp;Purchase!$D$4:$D$51&amp;Purchase!$E$4:$E$51,0))</f>
        <v/>
      </c>
      <c r="H54" s="21">
        <f t="array" ref="H54">INDEX(Purchase!$G$4:$G$51,MATCH(Sales!D54&amp;Sales!E54&amp;Sales!F54&amp;G54,Purchase!$D$4:$D$51&amp;Purchase!$E$4:$E$51&amp;Purchase!$A$4:$A$51&amp;Purchase!$B$4:$B$51,0))</f>
        <v/>
      </c>
      <c r="I54" s="21">
        <f>485000-(3.8%*485000)-10000</f>
        <v/>
      </c>
      <c r="J54" s="21">
        <f>I54-H54</f>
        <v/>
      </c>
      <c r="K54" s="21" t="n">
        <v>0</v>
      </c>
      <c r="L54" s="21">
        <f>J54-K54</f>
        <v/>
      </c>
      <c r="M54" s="21" t="inlineStr">
        <is>
          <t>Full Profit</t>
        </is>
      </c>
      <c r="N54" s="22">
        <f>(I54-H54)/H54</f>
        <v/>
      </c>
      <c r="P54" s="20">
        <f>COUNTIFS(D$4:D54,D54,E$4:E54,E54)</f>
        <v/>
      </c>
      <c r="Q54" s="51">
        <f>INDEX(Purchase!A$4:A$58,_xlfn.AGGREGATE(15,6,(ROW(Purchase!A$4:A$58)-ROW(Purchase!A$3))/(Purchase!D$4:D$58=D54)/(Purchase!E$4:E$58=E54)/(Purchase!N$4:N$57&gt;=P54),1))</f>
        <v/>
      </c>
      <c r="R54" s="20">
        <f>Q54=F54</f>
        <v/>
      </c>
    </row>
    <row r="55">
      <c r="A55" s="20" t="n">
        <v>52</v>
      </c>
      <c r="B55" s="12" t="n">
        <v>45207</v>
      </c>
      <c r="C55" s="25" t="inlineStr">
        <is>
          <t>Shopee</t>
        </is>
      </c>
      <c r="D55" s="19" t="inlineStr">
        <is>
          <t>[Person_5] Pack 20L Backpack</t>
        </is>
      </c>
      <c r="E55" s="20" t="inlineStr">
        <is>
          <t>Green</t>
        </is>
      </c>
      <c r="F55" s="12" t="n">
        <v>45114</v>
      </c>
      <c r="G55" s="12">
        <f t="array" ref="G55">INDEX(Purchase!$B$4:$B$51,MATCH(F55&amp;Sales!D55&amp;Sales!E55,Purchase!$A$4:$A$51&amp;Purchase!$D$4:$D$51&amp;Purchase!$E$4:$E$51,0))</f>
        <v/>
      </c>
      <c r="H55" s="21">
        <f t="array" ref="H55">INDEX(Purchase!$G$4:$G$51,MATCH(Sales!D55&amp;Sales!E55&amp;Sales!F55&amp;G55,Purchase!$D$4:$D$51&amp;Purchase!$E$4:$E$51&amp;Purchase!$A$4:$A$51&amp;Purchase!$B$4:$B$51,0))</f>
        <v/>
      </c>
      <c r="I55" s="21" t="n">
        <v>345600</v>
      </c>
      <c r="J55" s="21">
        <f>I55-H55</f>
        <v/>
      </c>
      <c r="K55" s="21" t="n">
        <v>0</v>
      </c>
      <c r="L55" s="21">
        <f>J55-K55</f>
        <v/>
      </c>
      <c r="M55" s="21" t="inlineStr">
        <is>
          <t>Full Profit</t>
        </is>
      </c>
      <c r="N55" s="22">
        <f>(I55-H55)/H55</f>
        <v/>
      </c>
      <c r="P55" s="20">
        <f>COUNTIFS(D$4:D55,D55,E$4:E55,E55)</f>
        <v/>
      </c>
      <c r="Q55" s="51">
        <f>INDEX(Purchase!A$4:A$58,_xlfn.AGGREGATE(15,6,(ROW(Purchase!A$4:A$58)-ROW(Purchase!A$3))/(Purchase!D$4:D$58=D55)/(Purchase!E$4:E$58=E55)/(Purchase!N$4:N$57&gt;=P55),1))</f>
        <v/>
      </c>
      <c r="R55" s="20">
        <f>Q55=F55</f>
        <v/>
      </c>
    </row>
    <row r="56">
      <c r="A56" s="20" t="n">
        <v>53</v>
      </c>
      <c r="B56" s="12" t="n">
        <v>45208</v>
      </c>
      <c r="C56" s="25" t="inlineStr">
        <is>
          <t>Tokopedia</t>
        </is>
      </c>
      <c r="D56" s="19" t="inlineStr">
        <is>
          <t>[Person_11] 25L</t>
        </is>
      </c>
      <c r="E56" s="20" t="inlineStr">
        <is>
          <t>Khaki</t>
        </is>
      </c>
      <c r="F56" s="12" t="n">
        <v>45194</v>
      </c>
      <c r="G56" s="12">
        <f t="array" ref="G56">INDEX(Purchase!$B$4:$B$51,MATCH(F56&amp;Sales!D56&amp;Sales!E56,Purchase!$A$4:$A$51&amp;Purchase!$D$4:$D$51&amp;Purchase!$E$4:$E$51,0))</f>
        <v/>
      </c>
      <c r="H56" s="21">
        <f t="array" ref="H56">INDEX(Purchase!$G$4:$G$51,MATCH(Sales!D56&amp;Sales!E56&amp;Sales!F56&amp;G56,Purchase!$D$4:$D$51&amp;Purchase!$E$4:$E$51&amp;Purchase!$A$4:$A$51&amp;Purchase!$B$4:$B$51,0))</f>
        <v/>
      </c>
      <c r="I56" s="21">
        <f>485000-(4.5%*485000)-10000</f>
        <v/>
      </c>
      <c r="J56" s="21">
        <f>I56-H56</f>
        <v/>
      </c>
      <c r="K56" s="21" t="n">
        <v>0</v>
      </c>
      <c r="L56" s="21">
        <f>J56-K56</f>
        <v/>
      </c>
      <c r="M56" s="21" t="inlineStr">
        <is>
          <t>Full Profit</t>
        </is>
      </c>
      <c r="N56" s="22">
        <f>(I56-H56)/H56</f>
        <v/>
      </c>
      <c r="P56" s="20">
        <f>COUNTIFS(D$4:D56,D56,E$4:E56,E56)</f>
        <v/>
      </c>
      <c r="Q56" s="51">
        <f>INDEX(Purchase!A$4:A$58,_xlfn.AGGREGATE(15,6,(ROW(Purchase!A$4:A$58)-ROW(Purchase!A$3))/(Purchase!D$4:D$58=D56)/(Purchase!E$4:E$58=E56)/(Purchase!N$4:N$57&gt;=P56),1))</f>
        <v/>
      </c>
      <c r="R56" s="20">
        <f>Q56=F56</f>
        <v/>
      </c>
    </row>
    <row r="57">
      <c r="A57" s="20" t="n">
        <v>54</v>
      </c>
      <c r="B57" s="12" t="n">
        <v>45209</v>
      </c>
      <c r="C57" s="25" t="inlineStr">
        <is>
          <t>Tokopedia</t>
        </is>
      </c>
      <c r="D57" s="19" t="inlineStr">
        <is>
          <t>[Person_9] 20L Woman Backpack</t>
        </is>
      </c>
      <c r="E57" s="20" t="inlineStr">
        <is>
          <t>[Person_8]</t>
        </is>
      </c>
      <c r="F57" s="12" t="n">
        <v>45146</v>
      </c>
      <c r="G57" s="20" t="inlineStr">
        <is>
          <t>Shopee</t>
        </is>
      </c>
      <c r="H57" s="21">
        <f t="array" ref="H57">INDEX(Purchase!$G$4:$G$51,MATCH(Sales!D57&amp;Sales!E57&amp;Sales!F57&amp;G57,Purchase!$D$4:$D$51&amp;Purchase!$E$4:$E$51&amp;Purchase!$A$4:$A$51&amp;Purchase!$B$4:$B$51,0))</f>
        <v/>
      </c>
      <c r="I57" s="21">
        <f>460000-20700</f>
        <v/>
      </c>
      <c r="J57" s="21">
        <f>I57-H57</f>
        <v/>
      </c>
      <c r="K57" s="21" t="n">
        <v>0</v>
      </c>
      <c r="L57" s="21">
        <f>J57-K57</f>
        <v/>
      </c>
      <c r="M57" s="21" t="inlineStr">
        <is>
          <t>Full Profit</t>
        </is>
      </c>
      <c r="N57" s="22">
        <f>(I57-H57)/H57</f>
        <v/>
      </c>
      <c r="P57" s="20">
        <f>COUNTIFS(D$4:D57,D57,E$4:E57,E57)</f>
        <v/>
      </c>
      <c r="Q57" s="51">
        <f>INDEX(Purchase!A$4:A$58,_xlfn.AGGREGATE(15,6,(ROW(Purchase!A$4:A$58)-ROW(Purchase!A$3))/(Purchase!D$4:D$58=D57)/(Purchase!E$4:E$58=E57)/(Purchase!N$4:N$57&gt;=P57),1))</f>
        <v/>
      </c>
      <c r="R57" s="20">
        <f>Q57=F57</f>
        <v/>
      </c>
    </row>
    <row r="58">
      <c r="A58" s="20" t="n">
        <v>55</v>
      </c>
      <c r="B58" s="12" t="n">
        <v>45216</v>
      </c>
      <c r="C58" s="25" t="inlineStr">
        <is>
          <t>Tokopedia</t>
        </is>
      </c>
      <c r="D58" s="19" t="inlineStr">
        <is>
          <t>[Person_11] 25L</t>
        </is>
      </c>
      <c r="E58" s="20" t="inlineStr">
        <is>
          <t>Khaki</t>
        </is>
      </c>
      <c r="F58" s="12" t="n">
        <v>45194</v>
      </c>
      <c r="G58" s="12">
        <f t="array" ref="G58">INDEX(Purchase!$B$4:$B$51,MATCH(F58&amp;Sales!D58&amp;Sales!E58,Purchase!$A$4:$A$51&amp;Purchase!$D$4:$D$51&amp;Purchase!$E$4:$E$51,0))</f>
        <v/>
      </c>
      <c r="H58" s="21">
        <f t="array" ref="H58">INDEX(Purchase!$G$4:$G$51,MATCH(Sales!D58&amp;Sales!E58&amp;Sales!F58&amp;G58,Purchase!$D$4:$D$51&amp;Purchase!$E$4:$E$51&amp;Purchase!$A$4:$A$51&amp;Purchase!$B$4:$B$51,0))</f>
        <v/>
      </c>
      <c r="I58" s="21">
        <f>500000-(4.5%*500000)-10000</f>
        <v/>
      </c>
      <c r="J58" s="21">
        <f>I58-H58</f>
        <v/>
      </c>
      <c r="K58" s="21" t="n">
        <v>0</v>
      </c>
      <c r="L58" s="21">
        <f>J58-K58</f>
        <v/>
      </c>
      <c r="M58" s="21" t="inlineStr">
        <is>
          <t>Full Profit</t>
        </is>
      </c>
      <c r="N58" s="22">
        <f>(I58-H58)/H58</f>
        <v/>
      </c>
      <c r="P58" s="20">
        <f>COUNTIFS(D$4:D58,D58,E$4:E58,E58)</f>
        <v/>
      </c>
      <c r="Q58" s="51">
        <f>INDEX(Purchase!A$4:A$58,_xlfn.AGGREGATE(15,6,(ROW(Purchase!A$4:A$58)-ROW(Purchase!A$3))/(Purchase!D$4:D$58=D58)/(Purchase!E$4:E$58=E58)/(Purchase!N$4:N$57&gt;=P58),1))</f>
        <v/>
      </c>
      <c r="R58" s="20">
        <f>Q58=F58</f>
        <v/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2"/>
  <sheetViews>
    <sheetView zoomScaleNormal="100" workbookViewId="0">
      <pane ySplit="3" topLeftCell="A4" activePane="bottomLeft" state="frozen"/>
      <selection pane="bottomLeft" activeCell="F4" sqref="F4"/>
    </sheetView>
  </sheetViews>
  <sheetFormatPr baseColWidth="8" defaultRowHeight="15"/>
  <cols>
    <col width="7.42578125" customWidth="1" style="1" min="1" max="1"/>
    <col width="38.5703125" bestFit="1" customWidth="1" min="2" max="2"/>
    <col width="12.7109375" bestFit="1" customWidth="1" style="1" min="3" max="3"/>
    <col width="8.7109375" customWidth="1" style="1" min="5" max="5"/>
    <col width="9.28515625" customWidth="1" min="6" max="6"/>
    <col width="38.5703125" bestFit="1" customWidth="1" min="10" max="10"/>
  </cols>
  <sheetData>
    <row r="1">
      <c r="A1" s="9" t="inlineStr">
        <is>
          <t>Stock</t>
        </is>
      </c>
    </row>
    <row r="2"/>
    <row r="3" ht="14.1" customFormat="1" customHeight="1" s="1">
      <c r="A3" s="8" t="inlineStr">
        <is>
          <t>No</t>
        </is>
      </c>
      <c r="B3" s="8" t="inlineStr">
        <is>
          <t>Items</t>
        </is>
      </c>
      <c r="C3" s="8" t="inlineStr">
        <is>
          <t>Color</t>
        </is>
      </c>
      <c r="D3" s="8" t="inlineStr">
        <is>
          <t>Quantity</t>
        </is>
      </c>
      <c r="E3" s="8" t="inlineStr">
        <is>
          <t>Sold</t>
        </is>
      </c>
      <c r="F3" s="8" t="inlineStr">
        <is>
          <t>Balance</t>
        </is>
      </c>
    </row>
    <row r="4">
      <c r="A4" s="1" t="n">
        <v>1</v>
      </c>
      <c r="B4" s="4" t="inlineStr">
        <is>
          <t>Eiger Starter Daypack 16L</t>
        </is>
      </c>
      <c r="C4" s="1" t="inlineStr">
        <is>
          <t>Blue</t>
        </is>
      </c>
      <c r="D4" s="1">
        <f>SUMIFS(Purchase!$C$4:$C$60,Purchase!$D$4:$D$60,Stock!B4,Purchase!$E$4:$E$60,Stock!C4)</f>
        <v/>
      </c>
      <c r="E4" s="1">
        <f>COUNTIFS(Sales!$D$4:$D$60,Stock!B4,Sales!E$4:E$60,Stock!C4)</f>
        <v/>
      </c>
      <c r="F4" s="1">
        <f>D4-E4</f>
        <v/>
      </c>
    </row>
    <row r="5">
      <c r="A5" s="1" t="n">
        <v>2</v>
      </c>
      <c r="B5" s="4" t="inlineStr">
        <is>
          <t>Eiger Starter Daypack 16L</t>
        </is>
      </c>
      <c r="C5" s="1" t="inlineStr">
        <is>
          <t>Olive</t>
        </is>
      </c>
      <c r="D5" s="1">
        <f>SUMIFS(Purchase!$C$4:$C$60,Purchase!$D$4:$D$60,Stock!B5,Purchase!$E$4:$E$60,Stock!C5)</f>
        <v/>
      </c>
      <c r="E5" s="1">
        <f>COUNTIFS(Sales!$D$4:$D$60,Stock!B5,Sales!E$4:E$60,Stock!C5)</f>
        <v/>
      </c>
      <c r="F5" s="1">
        <f>D5-E5</f>
        <v/>
      </c>
      <c r="J5" s="1" t="n"/>
    </row>
    <row r="6">
      <c r="A6" s="1" t="n">
        <v>3</v>
      </c>
      <c r="B6" s="4" t="inlineStr">
        <is>
          <t>[Person_2] Backpack 20L</t>
        </is>
      </c>
      <c r="C6" s="1" t="inlineStr">
        <is>
          <t>Black</t>
        </is>
      </c>
      <c r="D6" s="1">
        <f>SUMIFS(Purchase!$C$4:$C$60,Purchase!$D$4:$D$60,Stock!B6,Purchase!$E$4:$E$60,Stock!C6)</f>
        <v/>
      </c>
      <c r="E6" s="1">
        <f>COUNTIFS(Sales!$D$4:$D$60,Stock!B6,Sales!E$4:E$60,Stock!C6)</f>
        <v/>
      </c>
      <c r="F6" s="1">
        <f>D6-E6</f>
        <v/>
      </c>
      <c r="J6" s="1" t="n"/>
    </row>
    <row r="7">
      <c r="A7" s="1" t="n">
        <v>4</v>
      </c>
      <c r="B7" s="4" t="inlineStr">
        <is>
          <t>[Person_2] Backpack 20L</t>
        </is>
      </c>
      <c r="C7" s="1" t="inlineStr">
        <is>
          <t>Navy</t>
        </is>
      </c>
      <c r="D7" s="1">
        <f>SUMIFS(Purchase!$C$4:$C$60,Purchase!$D$4:$D$60,Stock!B7,Purchase!$E$4:$E$60,Stock!C7)</f>
        <v/>
      </c>
      <c r="E7" s="1">
        <f>COUNTIFS(Sales!$D$4:$D$60,Stock!B7,Sales!E$4:E$60,Stock!C7)</f>
        <v/>
      </c>
      <c r="F7" s="1">
        <f>D7-E7</f>
        <v/>
      </c>
      <c r="J7" s="1" t="n"/>
    </row>
    <row r="8">
      <c r="A8" s="1" t="n">
        <v>5</v>
      </c>
      <c r="B8" s="4" t="inlineStr">
        <is>
          <t>[Person_2] Backpack 20L</t>
        </is>
      </c>
      <c r="C8" s="1" t="inlineStr">
        <is>
          <t>Khaki</t>
        </is>
      </c>
      <c r="D8" s="1">
        <f>SUMIFS(Purchase!$C$4:$C$60,Purchase!$D$4:$D$60,Stock!B8,Purchase!$E$4:$E$60,Stock!C8)</f>
        <v/>
      </c>
      <c r="E8" s="1">
        <f>COUNTIFS(Sales!$D$4:$D$60,Stock!B8,Sales!E$4:E$60,Stock!C8)</f>
        <v/>
      </c>
      <c r="F8" s="1">
        <f>D8-E8</f>
        <v/>
      </c>
      <c r="J8" s="1" t="n"/>
    </row>
    <row r="9">
      <c r="A9" s="1" t="n">
        <v>6</v>
      </c>
      <c r="B9" s="4" t="inlineStr">
        <is>
          <t>Eiger Meridian 30L Laptop Backpack</t>
        </is>
      </c>
      <c r="C9" s="1" t="inlineStr">
        <is>
          <t>Black</t>
        </is>
      </c>
      <c r="D9" s="1">
        <f>SUMIFS(Purchase!$C$4:$C$60,Purchase!$D$4:$D$60,Stock!B9,Purchase!$E$4:$E$60,Stock!C9)</f>
        <v/>
      </c>
      <c r="E9" s="1">
        <f>COUNTIFS(Sales!$D$4:$D$60,Stock!B9,Sales!E$4:E$60,Stock!C9)</f>
        <v/>
      </c>
      <c r="F9" s="1">
        <f>D9-E9</f>
        <v/>
      </c>
      <c r="J9" s="1" t="n"/>
    </row>
    <row r="10">
      <c r="A10" s="1" t="n">
        <v>7</v>
      </c>
      <c r="B10" s="4" t="inlineStr">
        <is>
          <t>[Person_6] 15 Laptop Backpack</t>
        </is>
      </c>
      <c r="C10" s="1" t="inlineStr">
        <is>
          <t>Navy</t>
        </is>
      </c>
      <c r="D10" s="1">
        <f>SUMIFS(Purchase!$C$4:$C$60,Purchase!$D$4:$D$60,Stock!B10,Purchase!$E$4:$E$60,Stock!C10)</f>
        <v/>
      </c>
      <c r="E10" s="1">
        <f>COUNTIFS(Sales!$D$4:$D$60,Stock!B10,Sales!E$4:E$60,Stock!C10)</f>
        <v/>
      </c>
      <c r="F10" s="1">
        <f>D10-E10</f>
        <v/>
      </c>
      <c r="J10" s="1" t="n"/>
    </row>
    <row r="11">
      <c r="A11" s="1" t="n">
        <v>8</v>
      </c>
      <c r="B11" s="4" t="inlineStr">
        <is>
          <t>[Person_6] 15 Laptop Backpack</t>
        </is>
      </c>
      <c r="C11" s="1" t="inlineStr">
        <is>
          <t>Black</t>
        </is>
      </c>
      <c r="D11" s="1">
        <f>SUMIFS(Purchase!$C$4:$C$60,Purchase!$D$4:$D$60,Stock!B11,Purchase!$E$4:$E$60,Stock!C11)</f>
        <v/>
      </c>
      <c r="E11" s="1">
        <f>COUNTIFS(Sales!$D$4:$D$60,Stock!B11,Sales!E$4:E$60,Stock!C11)</f>
        <v/>
      </c>
      <c r="F11" s="1">
        <f>D11-E11</f>
        <v/>
      </c>
      <c r="J11" s="1" t="n"/>
    </row>
    <row r="12">
      <c r="A12" s="1" t="n">
        <v>9</v>
      </c>
      <c r="B12" s="4" t="inlineStr">
        <is>
          <t>[Person_5] Pack 20L Backpack</t>
        </is>
      </c>
      <c r="C12" s="1" t="inlineStr">
        <is>
          <t>Navy</t>
        </is>
      </c>
      <c r="D12" s="1">
        <f>SUMIFS(Purchase!$C$4:$C$60,Purchase!$D$4:$D$60,Stock!B12,Purchase!$E$4:$E$60,Stock!C12)</f>
        <v/>
      </c>
      <c r="E12" s="1">
        <f>COUNTIFS(Sales!$D$4:$D$60,Stock!B12,Sales!E$4:E$60,Stock!C12)</f>
        <v/>
      </c>
      <c r="F12" s="1">
        <f>D12-E12</f>
        <v/>
      </c>
      <c r="J12" s="1" t="n"/>
    </row>
    <row r="13">
      <c r="A13" s="1" t="n">
        <v>10</v>
      </c>
      <c r="B13" s="4" t="inlineStr">
        <is>
          <t>[Person_5] Pack 20L Backpack</t>
        </is>
      </c>
      <c r="C13" s="1" t="inlineStr">
        <is>
          <t>Green</t>
        </is>
      </c>
      <c r="D13" s="1">
        <f>SUMIFS(Purchase!$C$4:$C$60,Purchase!$D$4:$D$60,Stock!B13,Purchase!$E$4:$E$60,Stock!C13)</f>
        <v/>
      </c>
      <c r="E13" s="1">
        <f>COUNTIFS(Sales!$D$4:$D$60,Stock!B13,Sales!E$4:E$60,Stock!C13)</f>
        <v/>
      </c>
      <c r="F13" s="1">
        <f>D13-E13</f>
        <v/>
      </c>
      <c r="J13" s="1" t="n"/>
    </row>
    <row r="14">
      <c r="A14" s="1" t="n">
        <v>11</v>
      </c>
      <c r="B14" s="4" t="inlineStr">
        <is>
          <t>[Person_5] Pack 20L Backpack</t>
        </is>
      </c>
      <c r="C14" s="1" t="inlineStr">
        <is>
          <t>Black</t>
        </is>
      </c>
      <c r="D14" s="1">
        <f>SUMIFS(Purchase!$C$4:$C$60,Purchase!$D$4:$D$60,Stock!B14,Purchase!$E$4:$E$60,Stock!C14)</f>
        <v/>
      </c>
      <c r="E14" s="1">
        <f>COUNTIFS(Sales!$D$4:$D$60,Stock!B14,Sales!E$4:E$60,Stock!C14)</f>
        <v/>
      </c>
      <c r="F14" s="1">
        <f>D14-E14</f>
        <v/>
      </c>
      <c r="J14" s="1" t="n"/>
    </row>
    <row r="15">
      <c r="A15" s="1" t="n">
        <v>12</v>
      </c>
      <c r="B15" s="4" t="inlineStr">
        <is>
          <t>[Person_12]</t>
        </is>
      </c>
      <c r="C15" s="1" t="inlineStr">
        <is>
          <t>Navy</t>
        </is>
      </c>
      <c r="D15" s="1">
        <f>SUMIFS(Purchase!$C$4:$C$60,Purchase!$D$4:$D$60,Stock!B15,Purchase!$E$4:$E$60,Stock!C15)</f>
        <v/>
      </c>
      <c r="E15" s="1">
        <f>COUNTIFS(Sales!$D$4:$D$60,Stock!B15,Sales!E$4:E$60,Stock!C15)</f>
        <v/>
      </c>
      <c r="F15" s="1">
        <f>D15-E15</f>
        <v/>
      </c>
      <c r="J15" s="1" t="n"/>
    </row>
    <row r="16">
      <c r="A16" s="1" t="n">
        <v>13</v>
      </c>
      <c r="B16" s="4" t="inlineStr">
        <is>
          <t>[Person_12]</t>
        </is>
      </c>
      <c r="C16" s="1" t="inlineStr">
        <is>
          <t>Olive</t>
        </is>
      </c>
      <c r="D16" s="1">
        <f>SUMIFS(Purchase!$C$4:$C$60,Purchase!$D$4:$D$60,Stock!B16,Purchase!$E$4:$E$60,Stock!C16)</f>
        <v/>
      </c>
      <c r="E16" s="1">
        <f>COUNTIFS(Sales!$D$4:$D$60,Stock!B16,Sales!E$4:E$60,Stock!C16)</f>
        <v/>
      </c>
      <c r="F16" s="1">
        <f>D16-E16</f>
        <v/>
      </c>
      <c r="J16" s="1" t="n"/>
    </row>
    <row r="17">
      <c r="A17" s="1" t="n">
        <v>14</v>
      </c>
      <c r="B17" s="14" t="inlineStr">
        <is>
          <t>[Person_13] 3.0 Laptop 18L Backpack</t>
        </is>
      </c>
      <c r="C17" s="1" t="inlineStr">
        <is>
          <t>Black</t>
        </is>
      </c>
      <c r="D17" s="1">
        <f>SUMIFS(Purchase!$C$4:$C$60,Purchase!$D$4:$D$60,Stock!B17,Purchase!$E$4:$E$60,Stock!C17)</f>
        <v/>
      </c>
      <c r="E17" s="1">
        <f>COUNTIFS(Sales!$D$4:$D$60,Stock!B17,Sales!E$4:E$60,Stock!C17)</f>
        <v/>
      </c>
      <c r="F17" s="1">
        <f>D17-E17</f>
        <v/>
      </c>
      <c r="J17" s="1" t="n"/>
    </row>
    <row r="18">
      <c r="A18" s="1" t="n">
        <v>15</v>
      </c>
      <c r="B18" s="14" t="inlineStr">
        <is>
          <t>[Person_13] 3.0 Laptop 18L Backpack</t>
        </is>
      </c>
      <c r="C18" s="1" t="inlineStr">
        <is>
          <t>Olive</t>
        </is>
      </c>
      <c r="D18" s="1">
        <f>SUMIFS(Purchase!$C$4:$C$60,Purchase!$D$4:$D$60,Stock!B18,Purchase!$E$4:$E$60,Stock!C18)</f>
        <v/>
      </c>
      <c r="E18" s="1">
        <f>COUNTIFS(Sales!$D$4:$D$60,Stock!B18,Sales!E$4:E$60,Stock!C18)</f>
        <v/>
      </c>
      <c r="F18" s="1">
        <f>D18-E18</f>
        <v/>
      </c>
      <c r="J18" s="1" t="n"/>
    </row>
    <row r="19">
      <c r="A19" s="1" t="n">
        <v>16</v>
      </c>
      <c r="B19" s="14" t="inlineStr">
        <is>
          <t>[Person_15] 2.0 Laptop Backpack 20L</t>
        </is>
      </c>
      <c r="C19" s="1" t="inlineStr">
        <is>
          <t>Black</t>
        </is>
      </c>
      <c r="D19" s="1">
        <f>SUMIFS(Purchase!$C$4:$C$60,Purchase!$D$4:$D$60,Stock!B19,Purchase!$E$4:$E$60,Stock!C19)</f>
        <v/>
      </c>
      <c r="E19" s="1">
        <f>COUNTIFS(Sales!$D$4:$D$60,Stock!B19,Sales!E$4:E$60,Stock!C19)</f>
        <v/>
      </c>
      <c r="F19" s="1">
        <f>D19-E19</f>
        <v/>
      </c>
      <c r="J19" s="1" t="n"/>
    </row>
    <row r="20">
      <c r="A20" s="1" t="n">
        <v>17</v>
      </c>
      <c r="B20" s="10" t="inlineStr">
        <is>
          <t>[Person_16] Termina 2.0 Backpack</t>
        </is>
      </c>
      <c r="C20" s="1" t="inlineStr">
        <is>
          <t>Navy</t>
        </is>
      </c>
      <c r="D20" s="1">
        <f>SUMIFS(Purchase!$C$4:$C$60,Purchase!$D$4:$D$60,Stock!B20,Purchase!$E$4:$E$60,Stock!C20)</f>
        <v/>
      </c>
      <c r="E20" s="1">
        <f>COUNTIFS(Sales!$D$4:$D$60,Stock!B20,Sales!E$4:E$60,Stock!C20)</f>
        <v/>
      </c>
      <c r="F20" s="1">
        <f>D20-E20</f>
        <v/>
      </c>
      <c r="J20" s="1" t="n"/>
    </row>
    <row r="21">
      <c r="A21" s="1" t="n">
        <v>18</v>
      </c>
      <c r="B21" s="10" t="inlineStr">
        <is>
          <t>[Person_16] Termina 2.0 Backpack</t>
        </is>
      </c>
      <c r="C21" s="1" t="inlineStr">
        <is>
          <t>Black</t>
        </is>
      </c>
      <c r="D21" s="1">
        <f>SUMIFS(Purchase!$C$4:$C$60,Purchase!$D$4:$D$60,Stock!B21,Purchase!$E$4:$E$60,Stock!C21)</f>
        <v/>
      </c>
      <c r="E21" s="1">
        <f>COUNTIFS(Sales!$D$4:$D$60,Stock!B21,Sales!E$4:E$60,Stock!C21)</f>
        <v/>
      </c>
      <c r="F21" s="1">
        <f>D21-E21</f>
        <v/>
      </c>
      <c r="J21" s="1" t="n"/>
    </row>
    <row r="22">
      <c r="A22" s="1" t="n">
        <v>19</v>
      </c>
      <c r="B22" s="4" t="inlineStr">
        <is>
          <t>[Person_9] 20L Woman Backpack</t>
        </is>
      </c>
      <c r="C22" s="1" t="inlineStr">
        <is>
          <t>Burgundy</t>
        </is>
      </c>
      <c r="D22" s="1">
        <f>SUMIFS(Purchase!$C$4:$C$60,Purchase!$D$4:$D$60,Stock!B22,Purchase!$E$4:$E$60,Stock!C22)</f>
        <v/>
      </c>
      <c r="E22" s="1">
        <f>COUNTIFS(Sales!$D$4:$D$60,Stock!B22,Sales!E$4:E$60,Stock!C22)</f>
        <v/>
      </c>
      <c r="F22" s="1">
        <f>D22-E22</f>
        <v/>
      </c>
      <c r="J22" s="1" t="n"/>
    </row>
    <row r="23">
      <c r="A23" s="1" t="n">
        <v>20</v>
      </c>
      <c r="B23" s="4" t="inlineStr">
        <is>
          <t>[Person_9] 20L Woman Backpack</t>
        </is>
      </c>
      <c r="C23" s="1" t="inlineStr">
        <is>
          <t>[Person_8]</t>
        </is>
      </c>
      <c r="D23" s="1">
        <f>SUMIFS(Purchase!$C$4:$C$60,Purchase!$D$4:$D$60,Stock!B23,Purchase!$E$4:$E$60,Stock!C23)</f>
        <v/>
      </c>
      <c r="E23" s="1">
        <f>COUNTIFS(Sales!$D$4:$D$60,Stock!B23,Sales!E$4:E$60,Stock!C23)</f>
        <v/>
      </c>
      <c r="F23" s="1">
        <f>D23-E23</f>
        <v/>
      </c>
    </row>
    <row r="24">
      <c r="A24" s="1" t="n">
        <v>21</v>
      </c>
      <c r="B24" s="4" t="inlineStr">
        <is>
          <t>[Person_9] 20L Woman Backpack</t>
        </is>
      </c>
      <c r="C24" s="1" t="inlineStr">
        <is>
          <t>[Person_18]</t>
        </is>
      </c>
      <c r="D24" s="1">
        <f>SUMIFS(Purchase!$C$4:$C$60,Purchase!$D$4:$D$60,Stock!B24,Purchase!$E$4:$E$60,Stock!C24)</f>
        <v/>
      </c>
      <c r="E24" s="1">
        <f>COUNTIFS(Sales!$D$4:$D$60,Stock!B24,Sales!E$4:E$60,Stock!C24)</f>
        <v/>
      </c>
      <c r="F24" s="1">
        <f>D24-E24</f>
        <v/>
      </c>
    </row>
    <row r="25">
      <c r="A25" s="1" t="n">
        <v>22</v>
      </c>
      <c r="B25" s="4" t="inlineStr">
        <is>
          <t>Eiger Meridian 30L Laptop Backpack</t>
        </is>
      </c>
      <c r="C25" s="1" t="inlineStr">
        <is>
          <t>[Person_17]</t>
        </is>
      </c>
      <c r="D25" s="1">
        <f>SUMIFS(Purchase!$C$4:$C$60,Purchase!$D$4:$D$60,Stock!B25,Purchase!$E$4:$E$60,Stock!C25)</f>
        <v/>
      </c>
      <c r="E25" s="1">
        <f>COUNTIFS(Sales!$D$4:$D$60,Stock!B25,Sales!E$4:E$60,Stock!C25)</f>
        <v/>
      </c>
      <c r="F25" s="1">
        <f>D25-E25</f>
        <v/>
      </c>
    </row>
    <row r="26">
      <c r="A26" s="1" t="n">
        <v>23</v>
      </c>
      <c r="B26" s="4" t="inlineStr">
        <is>
          <t>Eiger Starter Daypack 21L</t>
        </is>
      </c>
      <c r="C26" s="1" t="inlineStr">
        <is>
          <t>Olive</t>
        </is>
      </c>
      <c r="D26" s="1">
        <f>SUMIFS(Purchase!$C$4:$C$60,Purchase!$D$4:$D$60,Stock!B26,Purchase!$E$4:$E$60,Stock!C26)</f>
        <v/>
      </c>
      <c r="E26" s="1">
        <f>COUNTIFS(Sales!$D$4:$D$60,Stock!B26,Sales!E$4:E$60,Stock!C26)</f>
        <v/>
      </c>
      <c r="F26" s="1">
        <f>D26-E26</f>
        <v/>
      </c>
    </row>
    <row r="27">
      <c r="A27" s="1" t="n">
        <v>24</v>
      </c>
      <c r="B27" s="4" t="inlineStr">
        <is>
          <t>Eiger Starter Daypack 21L</t>
        </is>
      </c>
      <c r="C27" s="1" t="inlineStr">
        <is>
          <t>Blue</t>
        </is>
      </c>
      <c r="D27" s="1">
        <f>SUMIFS(Purchase!$C$4:$C$60,Purchase!$D$4:$D$60,Stock!B27,Purchase!$E$4:$E$60,Stock!C27)</f>
        <v/>
      </c>
      <c r="E27" s="1">
        <f>COUNTIFS(Sales!$D$4:$D$60,Stock!B27,Sales!E$4:E$60,Stock!C27)</f>
        <v/>
      </c>
      <c r="F27" s="1">
        <f>D27-E27</f>
        <v/>
      </c>
    </row>
    <row r="28">
      <c r="A28" s="1" t="n">
        <v>25</v>
      </c>
      <c r="B28" s="4" t="inlineStr">
        <is>
          <t>[Person_11] 25L</t>
        </is>
      </c>
      <c r="C28" s="1" t="inlineStr">
        <is>
          <t>Black</t>
        </is>
      </c>
      <c r="D28" s="1">
        <f>SUMIFS(Purchase!$C$4:$C$60,Purchase!$D$4:$D$60,Stock!B28,Purchase!$E$4:$E$60,Stock!C28)</f>
        <v/>
      </c>
      <c r="E28" s="1">
        <f>COUNTIFS(Sales!$D$4:$D$60,Stock!B28,Sales!E$4:E$60,Stock!C28)</f>
        <v/>
      </c>
      <c r="F28" s="1">
        <f>D28-E28</f>
        <v/>
      </c>
    </row>
    <row r="29">
      <c r="A29" s="1" t="n">
        <v>26</v>
      </c>
      <c r="B29" s="4" t="inlineStr">
        <is>
          <t>[Person_11] 25L</t>
        </is>
      </c>
      <c r="C29" s="1" t="inlineStr">
        <is>
          <t>Navy</t>
        </is>
      </c>
      <c r="D29" s="1">
        <f>SUMIFS(Purchase!$C$4:$C$60,Purchase!$D$4:$D$60,Stock!B29,Purchase!$E$4:$E$60,Stock!C29)</f>
        <v/>
      </c>
      <c r="E29" s="1">
        <f>COUNTIFS(Sales!$D$4:$D$60,Stock!B29,Sales!E$4:E$60,Stock!C29)</f>
        <v/>
      </c>
      <c r="F29" s="1">
        <f>D29-E29</f>
        <v/>
      </c>
    </row>
    <row r="30">
      <c r="A30" s="1" t="n">
        <v>27</v>
      </c>
      <c r="B30" s="4" t="inlineStr">
        <is>
          <t>[Person_11] 25L</t>
        </is>
      </c>
      <c r="C30" s="1" t="inlineStr">
        <is>
          <t>Khaki</t>
        </is>
      </c>
      <c r="D30" s="1">
        <f>SUMIFS(Purchase!$C$4:$C$60,Purchase!$D$4:$D$60,Stock!B30,Purchase!$E$4:$E$60,Stock!C30)</f>
        <v/>
      </c>
      <c r="E30" s="1">
        <f>COUNTIFS(Sales!$D$4:$D$60,Stock!B30,Sales!E$4:E$60,Stock!C30)</f>
        <v/>
      </c>
      <c r="F30" s="1">
        <f>D30-E30</f>
        <v/>
      </c>
    </row>
    <row r="31">
      <c r="A31" s="1" t="n">
        <v>28</v>
      </c>
      <c r="B31" s="4" t="inlineStr">
        <is>
          <t>Eiger Forlough 20 Laptop Backpack</t>
        </is>
      </c>
      <c r="C31" s="1" t="inlineStr">
        <is>
          <t>Black</t>
        </is>
      </c>
      <c r="D31" s="1">
        <f>SUMIFS(Purchase!$C$4:$C$60,Purchase!$D$4:$D$60,Stock!B31,Purchase!$E$4:$E$60,Stock!C31)</f>
        <v/>
      </c>
      <c r="E31" s="1">
        <f>COUNTIFS(Sales!$D$4:$D$60,Stock!B31,Sales!E$4:E$60,Stock!C31)</f>
        <v/>
      </c>
      <c r="F31" s="1">
        <f>D31-E31</f>
        <v/>
      </c>
    </row>
    <row r="32">
      <c r="A32" s="1" t="n">
        <v>29</v>
      </c>
      <c r="B32" s="4" t="inlineStr">
        <is>
          <t>Eiger Forlough 20 Laptop Backpack</t>
        </is>
      </c>
      <c r="C32" s="1" t="inlineStr">
        <is>
          <t>Maroon</t>
        </is>
      </c>
      <c r="D32" s="1">
        <f>SUMIFS(Purchase!$C$4:$C$60,Purchase!$D$4:$D$60,Stock!B32,Purchase!$E$4:$E$60,Stock!C32)</f>
        <v/>
      </c>
      <c r="E32" s="1">
        <f>COUNTIFS(Sales!$D$4:$D$60,Stock!B32,Sales!E$4:E$60,Stock!C32)</f>
        <v/>
      </c>
      <c r="F32" s="1">
        <f>D32-E32</f>
        <v/>
      </c>
    </row>
    <row r="33">
      <c r="A33" s="1" t="n">
        <v>30</v>
      </c>
      <c r="B33" s="4" t="inlineStr">
        <is>
          <t>[Person_10] 20L Laptop Backpack</t>
        </is>
      </c>
      <c r="C33" s="1" t="inlineStr">
        <is>
          <t>Navy</t>
        </is>
      </c>
      <c r="D33" s="1">
        <f>SUMIFS(Purchase!$C$4:$C$60,Purchase!$D$4:$D$60,Stock!B33,Purchase!$E$4:$E$60,Stock!C33)</f>
        <v/>
      </c>
      <c r="E33" s="1">
        <f>COUNTIFS(Sales!$D$4:$D$60,Stock!B33,Sales!E$4:E$60,Stock!C33)</f>
        <v/>
      </c>
      <c r="F33" s="1">
        <f>D33-E33</f>
        <v/>
      </c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14" t="n"/>
    </row>
    <row r="39">
      <c r="B39" s="14" t="n"/>
    </row>
    <row r="40">
      <c r="B40" s="10" t="n"/>
    </row>
    <row r="41">
      <c r="B41" s="4" t="n"/>
    </row>
    <row r="42">
      <c r="B42" s="4" t="n"/>
    </row>
  </sheetData>
  <autoFilter ref="A3:J33"/>
  <conditionalFormatting sqref="B4:B33">
    <cfRule type="expression" priority="3" dxfId="0" stopIfTrue="1">
      <formula>F4=0</formula>
    </cfRule>
  </conditionalFormatting>
  <conditionalFormatting sqref="C4:C33">
    <cfRule type="expression" priority="9" dxfId="0" stopIfTrue="1">
      <formula>F4=0</formula>
    </cfRule>
  </conditionalFormatting>
  <conditionalFormatting sqref="D4:D33">
    <cfRule type="expression" priority="6" dxfId="0" stopIfTrue="1">
      <formula>F4=0</formula>
    </cfRule>
  </conditionalFormatting>
  <conditionalFormatting sqref="E4:E33">
    <cfRule type="expression" priority="5" dxfId="0" stopIfTrue="1">
      <formula>F4=0</formula>
    </cfRule>
  </conditionalFormatting>
  <conditionalFormatting sqref="F4:F33">
    <cfRule type="cellIs" priority="7" operator="equal" dxfId="0" stopIfTrue="1">
      <formula>0</formula>
    </cfRule>
  </conditionalFormatting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2" sqref="A2:A11"/>
    </sheetView>
  </sheetViews>
  <sheetFormatPr baseColWidth="8" defaultRowHeight="15"/>
  <cols>
    <col width="8.7109375" customWidth="1" style="1" min="1" max="1"/>
    <col width="31.85546875" bestFit="1" customWidth="1" min="2" max="2"/>
    <col width="14.85546875" bestFit="1" customWidth="1" min="3" max="3"/>
    <col width="14.85546875" bestFit="1" customWidth="1" style="26" min="4" max="4"/>
    <col width="9.7109375" customWidth="1" style="26" min="5" max="5"/>
    <col width="10.140625" bestFit="1" customWidth="1" min="6" max="6"/>
    <col width="14.85546875" bestFit="1" customWidth="1" min="7" max="7"/>
    <col width="11.5703125" customWidth="1" min="9" max="9"/>
    <col width="15" bestFit="1" customWidth="1" min="11" max="11"/>
    <col width="10.7109375" bestFit="1" customWidth="1" min="12" max="12"/>
    <col width="10.28515625" bestFit="1" customWidth="1" min="14" max="14"/>
  </cols>
  <sheetData>
    <row r="1" customFormat="1" s="27">
      <c r="A1" s="27" t="inlineStr">
        <is>
          <t>Qty</t>
        </is>
      </c>
      <c r="B1" s="27" t="inlineStr">
        <is>
          <t>Item</t>
        </is>
      </c>
      <c r="C1" s="27" t="inlineStr">
        <is>
          <t>Color</t>
        </is>
      </c>
      <c r="D1" s="28" t="inlineStr">
        <is>
          <t>Price</t>
        </is>
      </c>
      <c r="E1" s="28" t="inlineStr">
        <is>
          <t>Total Price</t>
        </is>
      </c>
      <c r="F1" s="27" t="inlineStr">
        <is>
          <t>Diskon/Pcs</t>
        </is>
      </c>
      <c r="G1" s="27" t="inlineStr">
        <is>
          <t>Bonus + Promosi</t>
        </is>
      </c>
      <c r="H1" s="27" t="inlineStr">
        <is>
          <t>Ongkir</t>
        </is>
      </c>
      <c r="I1" s="27" t="inlineStr">
        <is>
          <t>Nett Price</t>
        </is>
      </c>
      <c r="J1" s="27" t="inlineStr">
        <is>
          <t>Price List</t>
        </is>
      </c>
      <c r="K1" s="27" t="inlineStr">
        <is>
          <t>% From Price List</t>
        </is>
      </c>
      <c r="L1" s="27" t="inlineStr">
        <is>
          <t>Target Price</t>
        </is>
      </c>
      <c r="M1" s="27" t="inlineStr">
        <is>
          <t>Profit</t>
        </is>
      </c>
      <c r="N1" s="27" t="inlineStr">
        <is>
          <t>Total Profit</t>
        </is>
      </c>
    </row>
    <row r="2">
      <c r="A2" s="1" t="n">
        <v>8</v>
      </c>
      <c r="B2" t="inlineStr">
        <is>
          <t>Eiger Meridian 30L Laptop Backpack</t>
        </is>
      </c>
      <c r="C2" s="1" t="inlineStr">
        <is>
          <t>Black</t>
        </is>
      </c>
      <c r="D2" s="2" t="n">
        <v>589095</v>
      </c>
      <c r="E2" s="2">
        <f>A2*D2</f>
        <v/>
      </c>
      <c r="F2" s="2">
        <f>(($E2/$E$12)*$E$14)/$A2</f>
        <v/>
      </c>
      <c r="G2" s="2">
        <f>(($E2/$E$12)*$E$15)/$A2</f>
        <v/>
      </c>
      <c r="H2" s="2">
        <f>$E$16/SUM($A$2:$A$11)</f>
        <v/>
      </c>
      <c r="I2" s="2">
        <f>D2-F2-G2+H2</f>
        <v/>
      </c>
      <c r="J2" s="2">
        <f>INDEX(Purchase!$Q$4:$Q$22,MATCH('Calculation Buying 7 Jul'!B2,Purchase!$P$4:$P$22,0))</f>
        <v/>
      </c>
      <c r="K2" s="17">
        <f>I2/J2</f>
        <v/>
      </c>
      <c r="L2" s="2">
        <f>85%*J2</f>
        <v/>
      </c>
      <c r="M2" s="2">
        <f>L2-I2</f>
        <v/>
      </c>
      <c r="N2" s="2">
        <f>M2*A2</f>
        <v/>
      </c>
    </row>
    <row r="3">
      <c r="A3" s="1" t="n">
        <v>1</v>
      </c>
      <c r="B3">
        <f>Purchase!P4</f>
        <v/>
      </c>
      <c r="C3" s="1" t="inlineStr">
        <is>
          <t>Olive</t>
        </is>
      </c>
      <c r="D3" s="2" t="n">
        <v>306945</v>
      </c>
      <c r="E3" s="2">
        <f>A3*D3</f>
        <v/>
      </c>
      <c r="F3" s="2">
        <f>(($E3/$E$12)*$E$14)/$A3</f>
        <v/>
      </c>
      <c r="G3" s="2">
        <f>(($E3/$E$12)*$E$15)/$A3</f>
        <v/>
      </c>
      <c r="H3" s="2">
        <f>$E$16/SUM($A$2:$A$11)</f>
        <v/>
      </c>
      <c r="I3" s="2">
        <f>D3-F3-G3+H3</f>
        <v/>
      </c>
      <c r="J3" s="2">
        <f>INDEX(Purchase!$Q$4:$Q$22,MATCH('Calculation Buying 7 Jul'!B3,Purchase!$P$4:$P$22,0))</f>
        <v/>
      </c>
      <c r="K3" s="17">
        <f>I3/J3</f>
        <v/>
      </c>
      <c r="L3" s="2">
        <f>85%*J3</f>
        <v/>
      </c>
      <c r="M3" s="2">
        <f>L3-I3</f>
        <v/>
      </c>
      <c r="N3" s="2">
        <f>M3*A3</f>
        <v/>
      </c>
    </row>
    <row r="4">
      <c r="A4" s="1" t="n">
        <v>2</v>
      </c>
      <c r="B4">
        <f>Purchase!P7</f>
        <v/>
      </c>
      <c r="C4" s="1" t="inlineStr">
        <is>
          <t>Navy</t>
        </is>
      </c>
      <c r="D4" s="2" t="n">
        <v>315495</v>
      </c>
      <c r="E4" s="2">
        <f>A4*D4</f>
        <v/>
      </c>
      <c r="F4" s="2">
        <f>(($E4/$E$12)*$E$14)/$A4</f>
        <v/>
      </c>
      <c r="G4" s="2">
        <f>(($E4/$E$12)*$E$15)/$A4</f>
        <v/>
      </c>
      <c r="H4" s="2">
        <f>$E$16/SUM($A$2:$A$11)</f>
        <v/>
      </c>
      <c r="I4" s="2">
        <f>D4-F4-G4+H4</f>
        <v/>
      </c>
      <c r="J4" s="2">
        <f>INDEX(Purchase!$Q$4:$Q$22,MATCH('Calculation Buying 7 Jul'!B4,Purchase!$P$4:$P$22,0))</f>
        <v/>
      </c>
      <c r="K4" s="17">
        <f>I4/J4</f>
        <v/>
      </c>
      <c r="L4" s="2">
        <f>85%*J4</f>
        <v/>
      </c>
      <c r="M4" s="2">
        <f>L4-I4</f>
        <v/>
      </c>
      <c r="N4" s="2">
        <f>M4*A4</f>
        <v/>
      </c>
    </row>
    <row r="5">
      <c r="A5" s="1" t="n">
        <v>2</v>
      </c>
      <c r="B5">
        <f>Purchase!P17</f>
        <v/>
      </c>
      <c r="C5" s="1" t="inlineStr">
        <is>
          <t>Navy</t>
        </is>
      </c>
      <c r="D5" s="2" t="n">
        <v>383895</v>
      </c>
      <c r="E5" s="2">
        <f>A5*D5</f>
        <v/>
      </c>
      <c r="F5" s="2">
        <f>(($E5/$E$12)*$E$14)/$A5</f>
        <v/>
      </c>
      <c r="G5" s="2">
        <f>(($E5/$E$12)*$E$15)/$A5</f>
        <v/>
      </c>
      <c r="H5" s="2">
        <f>$E$16/SUM($A$2:$A$11)</f>
        <v/>
      </c>
      <c r="I5" s="2">
        <f>D5-F5-G5+H5</f>
        <v/>
      </c>
      <c r="J5" s="2">
        <f>INDEX(Purchase!$Q$4:$Q$22,MATCH('Calculation Buying 7 Jul'!B5,Purchase!$P$4:$P$22,0))</f>
        <v/>
      </c>
      <c r="K5" s="17">
        <f>I5/J5</f>
        <v/>
      </c>
      <c r="L5" s="2">
        <f>85%*J5</f>
        <v/>
      </c>
      <c r="M5" s="2">
        <f>L5-I5</f>
        <v/>
      </c>
      <c r="N5" s="2">
        <f>M5*A5</f>
        <v/>
      </c>
    </row>
    <row r="6">
      <c r="A6" s="1" t="n">
        <v>6</v>
      </c>
      <c r="B6">
        <f>Purchase!P17</f>
        <v/>
      </c>
      <c r="C6" s="1" t="inlineStr">
        <is>
          <t>Black</t>
        </is>
      </c>
      <c r="D6" s="2" t="n">
        <v>383895</v>
      </c>
      <c r="E6" s="2">
        <f>A6*D6</f>
        <v/>
      </c>
      <c r="F6" s="2">
        <f>(($E6/$E$12)*$E$14)/$A6</f>
        <v/>
      </c>
      <c r="G6" s="2">
        <f>(($E6/$E$12)*$E$15)/$A6</f>
        <v/>
      </c>
      <c r="H6" s="2">
        <f>$E$16/SUM($A$2:$A$11)</f>
        <v/>
      </c>
      <c r="I6" s="2">
        <f>D6-F6-G6+H6</f>
        <v/>
      </c>
      <c r="J6" s="2">
        <f>INDEX(Purchase!$Q$4:$Q$22,MATCH('Calculation Buying 7 Jul'!B6,Purchase!$P$4:$P$22,0))</f>
        <v/>
      </c>
      <c r="K6" s="17">
        <f>I6/J6</f>
        <v/>
      </c>
      <c r="L6" s="2">
        <f>85%*J6</f>
        <v/>
      </c>
      <c r="M6" s="2">
        <f>L6-I6</f>
        <v/>
      </c>
      <c r="N6" s="2">
        <f>M6*A6</f>
        <v/>
      </c>
    </row>
    <row r="7">
      <c r="A7" s="1" t="n">
        <v>2</v>
      </c>
      <c r="B7" t="inlineStr">
        <is>
          <t>[Person_2] Backpack 20L 1A Khaki</t>
        </is>
      </c>
      <c r="C7" s="1" t="inlineStr">
        <is>
          <t>Khaki</t>
        </is>
      </c>
      <c r="D7" s="2" t="n">
        <v>404100</v>
      </c>
      <c r="E7" s="2">
        <f>A7*D7</f>
        <v/>
      </c>
      <c r="F7" s="2">
        <f>(($E7/$E$12)*$E$14)/$A7</f>
        <v/>
      </c>
      <c r="G7" s="2">
        <f>(($E7/$E$12)*$E$15)/$A7</f>
        <v/>
      </c>
      <c r="H7" s="2">
        <f>$E$16/SUM($A$2:$A$11)</f>
        <v/>
      </c>
      <c r="I7" s="2">
        <f>D7-F7-G7+H7</f>
        <v/>
      </c>
      <c r="J7" s="2">
        <f>INDEX(Purchase!$Q$4:$Q$22,MATCH('Calculation Buying 7 Jul'!B7,Purchase!$P$4:$P$22,0))</f>
        <v/>
      </c>
      <c r="K7" s="17">
        <f>I7/J7</f>
        <v/>
      </c>
      <c r="L7" s="2">
        <f>85%*J7</f>
        <v/>
      </c>
      <c r="M7" s="2">
        <f>L7-I7</f>
        <v/>
      </c>
      <c r="N7" s="2">
        <f>M7*A7</f>
        <v/>
      </c>
    </row>
    <row r="8">
      <c r="A8" s="1" t="n">
        <v>2</v>
      </c>
      <c r="B8" t="inlineStr">
        <is>
          <t>[Person_5] Pack 20L Backpack</t>
        </is>
      </c>
      <c r="C8" s="1" t="inlineStr">
        <is>
          <t>Navy</t>
        </is>
      </c>
      <c r="D8" s="2" t="n">
        <v>366795</v>
      </c>
      <c r="E8" s="2">
        <f>A8*D8</f>
        <v/>
      </c>
      <c r="F8" s="2">
        <f>(($E8/$E$12)*$E$14)/$A8</f>
        <v/>
      </c>
      <c r="G8" s="2">
        <f>(($E8/$E$12)*$E$15)/$A8</f>
        <v/>
      </c>
      <c r="H8" s="2">
        <f>$E$16/SUM($A$2:$A$11)</f>
        <v/>
      </c>
      <c r="I8" s="2">
        <f>D8-F8-G8+H8</f>
        <v/>
      </c>
      <c r="J8" s="2">
        <f>INDEX(Purchase!$Q$4:$Q$22,MATCH('Calculation Buying 7 Jul'!B8,Purchase!$P$4:$P$22,0))</f>
        <v/>
      </c>
      <c r="K8" s="17">
        <f>I8/J8</f>
        <v/>
      </c>
      <c r="L8" s="2">
        <f>85%*J8</f>
        <v/>
      </c>
      <c r="M8" s="2">
        <f>L8-I8</f>
        <v/>
      </c>
      <c r="N8" s="2">
        <f>M8*A8</f>
        <v/>
      </c>
    </row>
    <row r="9">
      <c r="A9" s="1" t="n">
        <v>2</v>
      </c>
      <c r="B9">
        <f>Purchase!P19</f>
        <v/>
      </c>
      <c r="C9" s="1" t="inlineStr">
        <is>
          <t>Navy</t>
        </is>
      </c>
      <c r="D9" s="2" t="n">
        <v>332595</v>
      </c>
      <c r="E9" s="2">
        <f>A9*D9</f>
        <v/>
      </c>
      <c r="F9" s="2">
        <f>(($E9/$E$12)*$E$14)/$A9</f>
        <v/>
      </c>
      <c r="G9" s="2">
        <f>(($E9/$E$12)*$E$15)/$A9</f>
        <v/>
      </c>
      <c r="H9" s="2">
        <f>$E$16/SUM($A$2:$A$11)</f>
        <v/>
      </c>
      <c r="I9" s="2">
        <f>D9-F9-G9+H9</f>
        <v/>
      </c>
      <c r="J9" s="2">
        <f>INDEX(Purchase!$Q$4:$Q$22,MATCH('Calculation Buying 7 Jul'!B9,Purchase!$P$4:$P$22,0))</f>
        <v/>
      </c>
      <c r="K9" s="17">
        <f>I9/J9</f>
        <v/>
      </c>
      <c r="L9" s="2">
        <f>85%*J9</f>
        <v/>
      </c>
      <c r="M9" s="2">
        <f>L9-I9</f>
        <v/>
      </c>
      <c r="N9" s="2">
        <f>M9*A9</f>
        <v/>
      </c>
    </row>
    <row r="10">
      <c r="A10" s="1" t="n">
        <v>6</v>
      </c>
      <c r="B10" t="inlineStr">
        <is>
          <t>[Person_13] 3.0 Laptop 18L Backpack</t>
        </is>
      </c>
      <c r="C10" s="1" t="inlineStr">
        <is>
          <t>Black</t>
        </is>
      </c>
      <c r="D10" s="2" t="n">
        <v>435195</v>
      </c>
      <c r="E10" s="2">
        <f>A10*D10</f>
        <v/>
      </c>
      <c r="F10" s="2">
        <f>(($E10/$E$12)*$E$14)/$A10</f>
        <v/>
      </c>
      <c r="G10" s="2">
        <f>(($E10/$E$12)*$E$15)/$A10</f>
        <v/>
      </c>
      <c r="H10" s="2">
        <f>$E$16/SUM($A$2:$A$11)</f>
        <v/>
      </c>
      <c r="I10" s="2">
        <f>D10-F10-G10+H10</f>
        <v/>
      </c>
      <c r="J10" s="2">
        <f>INDEX(Purchase!$Q$4:$Q$22,MATCH('Calculation Buying 7 Jul'!B10,Purchase!$P$4:$P$22,0))</f>
        <v/>
      </c>
      <c r="K10" s="17">
        <f>I10/J10</f>
        <v/>
      </c>
      <c r="L10" s="2">
        <f>85%*J10</f>
        <v/>
      </c>
      <c r="M10" s="2">
        <f>L10-I10</f>
        <v/>
      </c>
      <c r="N10" s="2">
        <f>M10*A10</f>
        <v/>
      </c>
    </row>
    <row r="11">
      <c r="A11" s="1" t="n">
        <v>4</v>
      </c>
      <c r="B11">
        <f>Purchase!P18</f>
        <v/>
      </c>
      <c r="C11" s="1" t="inlineStr">
        <is>
          <t>Black</t>
        </is>
      </c>
      <c r="D11" s="2" t="n">
        <v>426645</v>
      </c>
      <c r="E11" s="2">
        <f>A11*D11</f>
        <v/>
      </c>
      <c r="F11" s="2">
        <f>(($E11/$E$12)*$E$14)/$A11</f>
        <v/>
      </c>
      <c r="G11" s="2">
        <f>(($E11/$E$12)*$E$15)/$A11</f>
        <v/>
      </c>
      <c r="H11" s="2">
        <f>$E$16/SUM($A$2:$A$11)</f>
        <v/>
      </c>
      <c r="I11" s="2">
        <f>D11-F11-G11+H11</f>
        <v/>
      </c>
      <c r="J11" s="2">
        <f>INDEX(Purchase!$Q$4:$Q$22,MATCH('Calculation Buying 7 Jul'!B11,Purchase!$P$4:$P$22,0))</f>
        <v/>
      </c>
      <c r="K11" s="17">
        <f>I11/J11</f>
        <v/>
      </c>
      <c r="L11" s="2">
        <f>85%*J11</f>
        <v/>
      </c>
      <c r="M11" s="2">
        <f>L11-I11</f>
        <v/>
      </c>
      <c r="N11" s="2">
        <f>M11*A11</f>
        <v/>
      </c>
    </row>
    <row r="12">
      <c r="C12" s="1" t="n"/>
      <c r="D12" s="27" t="inlineStr">
        <is>
          <t>Total</t>
        </is>
      </c>
      <c r="E12" s="32">
        <f>SUM(E2:E11)</f>
        <v/>
      </c>
      <c r="N12" s="32">
        <f>SUM(N2:N11)</f>
        <v/>
      </c>
    </row>
    <row r="13">
      <c r="C13" s="1" t="n"/>
      <c r="D13" s="30" t="n"/>
      <c r="M13" s="31" t="inlineStr">
        <is>
          <t>% Profit</t>
        </is>
      </c>
      <c r="N13" s="34">
        <f>N12/E17</f>
        <v/>
      </c>
    </row>
    <row r="14">
      <c r="C14" s="2" t="n"/>
      <c r="D14" s="29" t="inlineStr">
        <is>
          <t>Diskon</t>
        </is>
      </c>
      <c r="E14" s="26" t="n">
        <v>3000000</v>
      </c>
    </row>
    <row r="15">
      <c r="C15" s="1" t="n"/>
      <c r="D15" s="30" t="inlineStr">
        <is>
          <t>Bonus + Promosi</t>
        </is>
      </c>
      <c r="E15" s="26">
        <f>340000+762329</f>
        <v/>
      </c>
    </row>
    <row r="16">
      <c r="C16" s="1" t="n"/>
      <c r="D16" s="30" t="inlineStr">
        <is>
          <t>Ongkir</t>
        </is>
      </c>
      <c r="E16" s="26">
        <f>147900-40000</f>
        <v/>
      </c>
    </row>
    <row r="17">
      <c r="C17" s="1" t="n"/>
      <c r="D17" s="33" t="inlineStr">
        <is>
          <t>Total  Nett</t>
        </is>
      </c>
      <c r="E17" s="32">
        <f>E12-E14-E15+E16</f>
        <v/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2023-10-19T23:46:06Z</dcterms:created>
  <dcterms:modified xsi:type="dcterms:W3CDTF">2025-09-29T17:52:53Z</dcterms:modified>
</cp:coreProperties>
</file>