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415" yWindow="150" windowWidth="8670" windowHeight="7935" tabRatio="602" firstSheet="0" activeTab="0" autoFilterDateGrouping="1"/>
  </bookViews>
  <sheets>
    <sheet name="Pricing" sheetId="1" state="visible" r:id="rId1"/>
    <sheet name="CES Retail Mrkt" sheetId="2" state="visible" r:id="rId2"/>
  </sheets>
  <definedNames>
    <definedName name="_xlnm.Print_Area" localSheetId="1">'CES Retail Mrkt'!$A$16:$W$67</definedName>
  </definedNames>
  <calcPr calcId="152511" fullCalcOnLoad="1" iterate="1" iterateCount="20" iterateDelta="0.01"/>
</workbook>
</file>

<file path=xl/styles.xml><?xml version="1.0" encoding="utf-8"?>
<styleSheet xmlns="http://schemas.openxmlformats.org/spreadsheetml/2006/main">
  <numFmts count="9">
    <numFmt numFmtId="164" formatCode="&quot;$&quot;#,##0.0000_);[Red]\(&quot;$&quot;#,##0.0000\)"/>
    <numFmt numFmtId="165" formatCode="#,##0.00000"/>
    <numFmt numFmtId="166" formatCode="0.000%"/>
    <numFmt numFmtId="167" formatCode="_(* #,##0_);_(* \(#,##0\);_(* &quot;-&quot;??_);_(@_)"/>
    <numFmt numFmtId="168" formatCode="&quot;$&quot;#,##0.0000_);\(&quot;$&quot;#,##0.0000\)"/>
    <numFmt numFmtId="169" formatCode="_(&quot;$&quot;* #,##0.0000_);_(&quot;$&quot;* \(#,##0.0000\);_(&quot;$&quot;* &quot;-&quot;??_);_(@_)"/>
    <numFmt numFmtId="170" formatCode="_(&quot;$&quot;* #,##0.00_);_(&quot;$&quot;* \(#,##0.00\);_(&quot;$&quot;* &quot;-&quot;??_);_(@_)"/>
    <numFmt numFmtId="171" formatCode="&quot;$&quot;#,##0.00_);\(&quot;$&quot;#,##0.00\)"/>
    <numFmt numFmtId="172" formatCode="0.0000%"/>
  </numFmts>
  <fonts count="12">
    <font>
      <name val="Arial"/>
      <sz val="10"/>
    </font>
    <font>
      <name val="Arial"/>
      <sz val="10"/>
    </font>
    <font>
      <name val="Arial"/>
      <family val="2"/>
      <sz val="8"/>
    </font>
    <font>
      <name val="Arial"/>
      <b val="1"/>
      <sz val="8"/>
    </font>
    <font>
      <name val="Arial"/>
      <b val="1"/>
      <sz val="8"/>
      <u val="single"/>
    </font>
    <font>
      <name val="Arial"/>
      <family val="2"/>
      <b val="1"/>
      <sz val="8"/>
    </font>
    <font>
      <name val="Arial"/>
      <family val="2"/>
      <sz val="10"/>
    </font>
    <font>
      <name val="Arial"/>
      <sz val="9"/>
    </font>
    <font>
      <name val="Arial"/>
      <b val="1"/>
      <sz val="9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b val="1"/>
      <sz val="10"/>
    </font>
  </fonts>
  <fills count="8">
    <fill>
      <patternFill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1" fillId="0" borderId="0"/>
    <xf numFmtId="43" fontId="1" fillId="0" borderId="0"/>
    <xf numFmtId="44" fontId="1" fillId="0" borderId="0"/>
    <xf numFmtId="9" fontId="1" fillId="0" borderId="0"/>
  </cellStyleXfs>
  <cellXfs count="212">
    <xf numFmtId="0" fontId="0" fillId="0" borderId="0" pivotButton="0" quotePrefix="0" xfId="0"/>
    <xf numFmtId="38" fontId="2" fillId="0" borderId="0" applyAlignment="1" pivotButton="0" quotePrefix="0" xfId="0">
      <alignment horizontal="left"/>
    </xf>
    <xf numFmtId="38" fontId="3" fillId="0" borderId="0" applyAlignment="1" pivotButton="0" quotePrefix="0" xfId="0">
      <alignment horizontal="center"/>
    </xf>
    <xf numFmtId="38" fontId="2" fillId="0" borderId="0" applyAlignment="1" pivotButton="0" quotePrefix="0" xfId="0">
      <alignment horizontal="center"/>
    </xf>
    <xf numFmtId="14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38" fontId="3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center"/>
    </xf>
    <xf numFmtId="165" fontId="2" fillId="0" borderId="0" applyAlignment="1" pivotButton="0" quotePrefix="0" xfId="0">
      <alignment horizontal="center"/>
    </xf>
    <xf numFmtId="38" fontId="2" fillId="0" borderId="0" applyAlignment="1" pivotButton="0" quotePrefix="0" xfId="0">
      <alignment horizontal="right"/>
    </xf>
    <xf numFmtId="38" fontId="2" fillId="0" borderId="1" applyAlignment="1" pivotButton="0" quotePrefix="0" xfId="0">
      <alignment horizontal="left"/>
    </xf>
    <xf numFmtId="38" fontId="3" fillId="0" borderId="1" applyAlignment="1" pivotButton="0" quotePrefix="0" xfId="0">
      <alignment horizontal="center"/>
    </xf>
    <xf numFmtId="38" fontId="2" fillId="0" borderId="1" applyAlignment="1" pivotButton="0" quotePrefix="0" xfId="0">
      <alignment horizontal="center"/>
    </xf>
    <xf numFmtId="14" fontId="2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" fontId="4" fillId="0" borderId="0" applyAlignment="1" pivotButton="0" quotePrefix="0" xfId="0">
      <alignment horizontal="left"/>
    </xf>
    <xf numFmtId="16" fontId="4" fillId="0" borderId="0" applyAlignment="1" pivotButton="0" quotePrefix="0" xfId="0">
      <alignment horizontal="center"/>
    </xf>
    <xf numFmtId="14" fontId="4" fillId="0" borderId="0" applyAlignment="1" pivotButton="0" quotePrefix="0" xfId="0">
      <alignment horizontal="center"/>
    </xf>
    <xf numFmtId="165" fontId="4" fillId="0" borderId="0" applyAlignment="1" pivotButton="0" quotePrefix="0" xfId="0">
      <alignment horizontal="center"/>
    </xf>
    <xf numFmtId="1" fontId="4" fillId="0" borderId="0" applyAlignment="1" pivotButton="0" quotePrefix="0" xfId="0">
      <alignment horizontal="center"/>
    </xf>
    <xf numFmtId="38" fontId="4" fillId="0" borderId="0" applyAlignment="1" pivotButton="0" quotePrefix="0" xfId="0">
      <alignment horizontal="right"/>
    </xf>
    <xf numFmtId="38" fontId="3" fillId="0" borderId="1" applyAlignment="1" pivotButton="0" quotePrefix="0" xfId="0">
      <alignment horizontal="right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0" fillId="0" borderId="0" pivotButton="0" quotePrefix="0" xfId="0"/>
    <xf numFmtId="1" fontId="3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38" fontId="2" fillId="0" borderId="0" applyAlignment="1" pivotButton="0" quotePrefix="0" xfId="0">
      <alignment horizontal="right"/>
    </xf>
    <xf numFmtId="38" fontId="2" fillId="0" borderId="0" applyAlignment="1" pivotButton="0" quotePrefix="1" xfId="0">
      <alignment horizontal="left"/>
    </xf>
    <xf numFmtId="38" fontId="3" fillId="0" borderId="1" applyAlignment="1" pivotButton="0" quotePrefix="0" xfId="0">
      <alignment horizontal="left"/>
    </xf>
    <xf numFmtId="164" fontId="3" fillId="0" borderId="0" applyAlignment="1" pivotButton="0" quotePrefix="0" xfId="0">
      <alignment horizontal="center"/>
    </xf>
    <xf numFmtId="49" fontId="3" fillId="0" borderId="0" applyAlignment="1" pivotButton="0" quotePrefix="0" xfId="0">
      <alignment horizontal="left"/>
    </xf>
    <xf numFmtId="38" fontId="3" fillId="0" borderId="0" applyAlignment="1" pivotButton="0" quotePrefix="0" xfId="0">
      <alignment horizontal="right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0" fillId="0" borderId="0" pivotButton="0" quotePrefix="0" xfId="0"/>
    <xf numFmtId="38" fontId="2" fillId="0" borderId="0" applyAlignment="1" pivotButton="0" quotePrefix="1" xfId="0">
      <alignment horizontal="right"/>
    </xf>
    <xf numFmtId="38" fontId="2" fillId="0" borderId="0" applyAlignment="1" pivotButton="0" quotePrefix="0" xfId="0">
      <alignment horizontal="center"/>
    </xf>
    <xf numFmtId="38" fontId="5" fillId="0" borderId="0" applyAlignment="1" pivotButton="0" quotePrefix="0" xfId="0">
      <alignment horizontal="left"/>
    </xf>
    <xf numFmtId="38" fontId="2" fillId="2" borderId="0" applyAlignment="1" pivotButton="0" quotePrefix="0" xfId="0">
      <alignment horizontal="left"/>
    </xf>
    <xf numFmtId="166" fontId="2" fillId="0" borderId="0" applyAlignment="1" pivotButton="0" quotePrefix="0" xfId="0">
      <alignment horizontal="center"/>
    </xf>
    <xf numFmtId="166" fontId="4" fillId="0" borderId="0" applyAlignment="1" pivotButton="0" quotePrefix="0" xfId="0">
      <alignment horizontal="center"/>
    </xf>
    <xf numFmtId="166" fontId="2" fillId="0" borderId="1" applyAlignment="1" pivotButton="0" quotePrefix="0" xfId="0">
      <alignment horizontal="center"/>
    </xf>
    <xf numFmtId="166" fontId="2" fillId="0" borderId="0" applyAlignment="1" pivotButton="0" quotePrefix="1" xfId="0">
      <alignment horizontal="left"/>
    </xf>
    <xf numFmtId="166" fontId="0" fillId="0" borderId="0" pivotButton="0" quotePrefix="0" xfId="0"/>
    <xf numFmtId="164" fontId="5" fillId="0" borderId="0" applyAlignment="1" pivotButton="0" quotePrefix="0" xfId="0">
      <alignment horizontal="left"/>
    </xf>
    <xf numFmtId="1" fontId="2" fillId="0" borderId="0" applyAlignment="1" pivotButton="0" quotePrefix="0" xfId="0">
      <alignment horizontal="center"/>
    </xf>
    <xf numFmtId="38" fontId="3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2" fillId="0" borderId="0" applyAlignment="1" pivotButton="0" quotePrefix="1" xfId="0">
      <alignment horizontal="right"/>
    </xf>
    <xf numFmtId="38" fontId="2" fillId="0" borderId="0" applyAlignment="1" pivotButton="0" quotePrefix="0" xfId="0">
      <alignment horizontal="left"/>
    </xf>
    <xf numFmtId="38" fontId="4" fillId="0" borderId="0" applyAlignment="1" pivotButton="0" quotePrefix="0" xfId="0">
      <alignment horizontal="left"/>
    </xf>
    <xf numFmtId="38" fontId="2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7" fontId="7" fillId="0" borderId="0" pivotButton="0" quotePrefix="0" xfId="1"/>
    <xf numFmtId="168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pivotButton="0" quotePrefix="0" xfId="0"/>
    <xf numFmtId="168" fontId="7" fillId="0" borderId="0" pivotButton="0" quotePrefix="0" xfId="0"/>
    <xf numFmtId="10" fontId="7" fillId="0" borderId="0" pivotButton="0" quotePrefix="0" xfId="3"/>
    <xf numFmtId="38" fontId="2" fillId="2" borderId="0" applyAlignment="1" pivotButton="0" quotePrefix="0" xfId="0">
      <alignment horizontal="center"/>
    </xf>
    <xf numFmtId="14" fontId="2" fillId="2" borderId="0" applyAlignment="1" pivotButton="0" quotePrefix="0" xfId="0">
      <alignment horizontal="center"/>
    </xf>
    <xf numFmtId="165" fontId="2" fillId="2" borderId="0" applyAlignment="1" pivotButton="0" quotePrefix="0" xfId="0">
      <alignment horizontal="center"/>
    </xf>
    <xf numFmtId="164" fontId="2" fillId="2" borderId="0" applyAlignment="1" pivotButton="0" quotePrefix="0" xfId="0">
      <alignment horizontal="center"/>
    </xf>
    <xf numFmtId="166" fontId="2" fillId="2" borderId="0" applyAlignment="1" pivotButton="0" quotePrefix="0" xfId="0">
      <alignment horizontal="center"/>
    </xf>
    <xf numFmtId="1" fontId="2" fillId="2" borderId="0" applyAlignment="1" pivotButton="0" quotePrefix="0" xfId="0">
      <alignment horizontal="center"/>
    </xf>
    <xf numFmtId="38" fontId="2" fillId="2" borderId="0" applyAlignment="1" pivotButton="0" quotePrefix="0" xfId="0">
      <alignment horizontal="right"/>
    </xf>
    <xf numFmtId="0" fontId="2" fillId="2" borderId="0" applyAlignment="1" pivotButton="0" quotePrefix="0" xfId="0">
      <alignment horizontal="center"/>
    </xf>
    <xf numFmtId="0" fontId="6" fillId="2" borderId="0" pivotButton="0" quotePrefix="0" xfId="0"/>
    <xf numFmtId="38" fontId="0" fillId="0" borderId="0" pivotButton="0" quotePrefix="0" xfId="0"/>
    <xf numFmtId="167" fontId="0" fillId="0" borderId="0" applyAlignment="1" pivotButton="0" quotePrefix="0" xfId="1">
      <alignment horizontal="center"/>
    </xf>
    <xf numFmtId="167" fontId="0" fillId="0" borderId="0" pivotButton="0" quotePrefix="0" xfId="1"/>
    <xf numFmtId="167" fontId="0" fillId="0" borderId="2" applyAlignment="1" pivotButton="0" quotePrefix="0" xfId="1">
      <alignment horizontal="center"/>
    </xf>
    <xf numFmtId="167" fontId="0" fillId="0" borderId="3" applyAlignment="1" pivotButton="0" quotePrefix="0" xfId="1">
      <alignment horizontal="center"/>
    </xf>
    <xf numFmtId="167" fontId="0" fillId="0" borderId="0" applyAlignment="1" pivotButton="0" quotePrefix="0" xfId="1">
      <alignment horizontal="center"/>
    </xf>
    <xf numFmtId="167" fontId="0" fillId="0" borderId="4" applyAlignment="1" pivotButton="0" quotePrefix="0" xfId="1">
      <alignment horizontal="center"/>
    </xf>
    <xf numFmtId="167" fontId="0" fillId="0" borderId="5" applyAlignment="1" pivotButton="0" quotePrefix="0" xfId="1">
      <alignment horizontal="center"/>
    </xf>
    <xf numFmtId="167" fontId="0" fillId="0" borderId="6" applyAlignment="1" pivotButton="0" quotePrefix="0" xfId="1">
      <alignment horizontal="center"/>
    </xf>
    <xf numFmtId="167" fontId="0" fillId="0" borderId="7" applyAlignment="1" pivotButton="0" quotePrefix="0" xfId="1">
      <alignment horizontal="center"/>
    </xf>
    <xf numFmtId="169" fontId="0" fillId="0" borderId="0" applyAlignment="1" pivotButton="0" quotePrefix="0" xfId="2">
      <alignment horizontal="center"/>
    </xf>
    <xf numFmtId="170" fontId="0" fillId="0" borderId="0" applyAlignment="1" pivotButton="0" quotePrefix="0" xfId="2">
      <alignment horizontal="center"/>
    </xf>
    <xf numFmtId="167" fontId="0" fillId="0" borderId="8" applyAlignment="1" pivotButton="0" quotePrefix="0" xfId="1">
      <alignment horizontal="center"/>
    </xf>
    <xf numFmtId="38" fontId="2" fillId="0" borderId="9" applyAlignment="1" pivotButton="0" quotePrefix="0" xfId="0">
      <alignment horizontal="right"/>
    </xf>
    <xf numFmtId="171" fontId="7" fillId="0" borderId="0" pivotButton="0" quotePrefix="0" xfId="0"/>
    <xf numFmtId="166" fontId="7" fillId="0" borderId="0" pivotButton="0" quotePrefix="0" xfId="3"/>
    <xf numFmtId="167" fontId="7" fillId="0" borderId="0" pivotButton="0" quotePrefix="0" xfId="0"/>
    <xf numFmtId="166" fontId="7" fillId="0" borderId="0" pivotButton="0" quotePrefix="0" xfId="3"/>
    <xf numFmtId="40" fontId="2" fillId="0" borderId="0" applyAlignment="1" pivotButton="0" quotePrefix="0" xfId="0">
      <alignment horizontal="right"/>
    </xf>
    <xf numFmtId="169" fontId="0" fillId="0" borderId="0" pivotButton="0" quotePrefix="0" xfId="2"/>
    <xf numFmtId="0" fontId="11" fillId="0" borderId="0" pivotButton="0" quotePrefix="0" xfId="0"/>
    <xf numFmtId="169" fontId="11" fillId="0" borderId="0" pivotButton="0" quotePrefix="0" xfId="2"/>
    <xf numFmtId="0" fontId="0" fillId="0" borderId="0" applyAlignment="1" applyProtection="1" pivotButton="0" quotePrefix="0" xfId="0">
      <alignment vertical="top"/>
      <protection locked="0" hidden="0"/>
    </xf>
    <xf numFmtId="9" fontId="7" fillId="0" borderId="0" pivotButton="0" quotePrefix="0" xfId="3"/>
    <xf numFmtId="167" fontId="7" fillId="0" borderId="0" pivotButton="0" quotePrefix="0" xfId="1"/>
    <xf numFmtId="0" fontId="1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right"/>
    </xf>
    <xf numFmtId="38" fontId="2" fillId="2" borderId="0" applyAlignment="1" pivotButton="0" quotePrefix="1" xfId="0">
      <alignment horizontal="left"/>
    </xf>
    <xf numFmtId="43" fontId="0" fillId="0" borderId="0" applyAlignment="1" applyProtection="1" pivotButton="0" quotePrefix="0" xfId="1">
      <alignment vertical="top"/>
      <protection locked="0" hidden="0"/>
    </xf>
    <xf numFmtId="0" fontId="0" fillId="3" borderId="0" applyAlignment="1" pivotButton="0" quotePrefix="0" xfId="0">
      <alignment wrapText="1"/>
    </xf>
    <xf numFmtId="14" fontId="0" fillId="3" borderId="0" applyAlignment="1" pivotButton="0" quotePrefix="0" xfId="0">
      <alignment wrapText="1"/>
    </xf>
    <xf numFmtId="0" fontId="0" fillId="4" borderId="0" applyAlignment="1" pivotButton="0" quotePrefix="0" xfId="0">
      <alignment wrapText="1"/>
    </xf>
    <xf numFmtId="14" fontId="0" fillId="4" borderId="0" applyAlignment="1" pivotButton="0" quotePrefix="0" xfId="0">
      <alignment wrapText="1"/>
    </xf>
    <xf numFmtId="3" fontId="0" fillId="4" borderId="0" applyAlignment="1" pivotButton="0" quotePrefix="0" xfId="0">
      <alignment wrapText="1"/>
    </xf>
    <xf numFmtId="3" fontId="0" fillId="3" borderId="0" applyAlignment="1" pivotButton="0" quotePrefix="0" xfId="0">
      <alignment wrapText="1"/>
    </xf>
    <xf numFmtId="38" fontId="2" fillId="0" borderId="0" applyAlignment="1" pivotButton="0" quotePrefix="1" xfId="0">
      <alignment horizontal="center"/>
    </xf>
    <xf numFmtId="38" fontId="5" fillId="0" borderId="0" applyAlignment="1" pivotButton="0" quotePrefix="0" xfId="0">
      <alignment horizontal="right"/>
    </xf>
    <xf numFmtId="1" fontId="2" fillId="0" borderId="0" applyAlignment="1" pivotButton="0" quotePrefix="1" xfId="0">
      <alignment horizontal="center"/>
    </xf>
    <xf numFmtId="0" fontId="2" fillId="0" borderId="0" applyAlignment="1" pivotButton="0" quotePrefix="1" xfId="0">
      <alignment horizontal="right"/>
    </xf>
    <xf numFmtId="0" fontId="2" fillId="2" borderId="0" applyAlignment="1" pivotButton="0" quotePrefix="1" xfId="0">
      <alignment horizontal="left"/>
    </xf>
    <xf numFmtId="0" fontId="2" fillId="2" borderId="0" pivotButton="0" quotePrefix="0" xfId="0"/>
    <xf numFmtId="38" fontId="5" fillId="2" borderId="0" applyAlignment="1" pivotButton="0" quotePrefix="0" xfId="0">
      <alignment horizontal="right"/>
    </xf>
    <xf numFmtId="38" fontId="2" fillId="2" borderId="0" applyAlignment="1" pivotButton="0" quotePrefix="1" xfId="0">
      <alignment horizontal="center"/>
    </xf>
    <xf numFmtId="38" fontId="2" fillId="5" borderId="0" applyAlignment="1" pivotButton="0" quotePrefix="0" xfId="0">
      <alignment horizontal="left"/>
    </xf>
    <xf numFmtId="38" fontId="2" fillId="5" borderId="0" applyAlignment="1" pivotButton="0" quotePrefix="0" xfId="0">
      <alignment horizontal="center"/>
    </xf>
    <xf numFmtId="14" fontId="2" fillId="5" borderId="0" applyAlignment="1" pivotButton="0" quotePrefix="0" xfId="0">
      <alignment horizontal="center"/>
    </xf>
    <xf numFmtId="38" fontId="2" fillId="5" borderId="0" applyAlignment="1" pivotButton="0" quotePrefix="1" xfId="0">
      <alignment horizontal="left"/>
    </xf>
    <xf numFmtId="165" fontId="2" fillId="5" borderId="0" applyAlignment="1" pivotButton="0" quotePrefix="0" xfId="0">
      <alignment horizontal="center"/>
    </xf>
    <xf numFmtId="164" fontId="2" fillId="5" borderId="0" applyAlignment="1" pivotButton="0" quotePrefix="0" xfId="0">
      <alignment horizontal="center"/>
    </xf>
    <xf numFmtId="166" fontId="2" fillId="5" borderId="0" applyAlignment="1" pivotButton="0" quotePrefix="0" xfId="0">
      <alignment horizontal="center"/>
    </xf>
    <xf numFmtId="1" fontId="2" fillId="5" borderId="0" applyAlignment="1" pivotButton="0" quotePrefix="0" xfId="0">
      <alignment horizontal="center"/>
    </xf>
    <xf numFmtId="38" fontId="2" fillId="5" borderId="0" applyAlignment="1" pivotButton="0" quotePrefix="0" xfId="0">
      <alignment horizontal="right"/>
    </xf>
    <xf numFmtId="0" fontId="2" fillId="5" borderId="0" applyAlignment="1" pivotButton="0" quotePrefix="0" xfId="0">
      <alignment horizontal="right"/>
    </xf>
    <xf numFmtId="0" fontId="2" fillId="5" borderId="0" applyAlignment="1" pivotButton="0" quotePrefix="0" xfId="0">
      <alignment horizontal="center"/>
    </xf>
    <xf numFmtId="0" fontId="6" fillId="5" borderId="0" pivotButton="0" quotePrefix="0" xfId="0"/>
    <xf numFmtId="38" fontId="5" fillId="5" borderId="0" applyAlignment="1" pivotButton="0" quotePrefix="0" xfId="0">
      <alignment horizontal="right"/>
    </xf>
    <xf numFmtId="40" fontId="5" fillId="5" borderId="0" applyAlignment="1" pivotButton="0" quotePrefix="0" xfId="0">
      <alignment horizontal="right"/>
    </xf>
    <xf numFmtId="38" fontId="2" fillId="5" borderId="0" applyAlignment="1" pivotButton="0" quotePrefix="0" xfId="0">
      <alignment horizontal="center"/>
    </xf>
    <xf numFmtId="168" fontId="7" fillId="0" borderId="9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applyProtection="1" pivotButton="0" quotePrefix="0" xfId="0">
      <alignment vertical="top"/>
      <protection locked="0" hidden="0"/>
    </xf>
    <xf numFmtId="172" fontId="7" fillId="0" borderId="0" pivotButton="0" quotePrefix="0" xfId="3"/>
    <xf numFmtId="38" fontId="2" fillId="6" borderId="9" applyAlignment="1" pivotButton="0" quotePrefix="0" xfId="0">
      <alignment horizontal="right"/>
    </xf>
    <xf numFmtId="168" fontId="7" fillId="2" borderId="0" pivotButton="0" quotePrefix="0" xfId="0"/>
    <xf numFmtId="10" fontId="7" fillId="2" borderId="0" pivotButton="0" quotePrefix="0" xfId="3"/>
    <xf numFmtId="168" fontId="7" fillId="2" borderId="10" pivotButton="0" quotePrefix="0" xfId="0"/>
    <xf numFmtId="168" fontId="7" fillId="2" borderId="9" pivotButton="0" quotePrefix="0" xfId="0"/>
    <xf numFmtId="172" fontId="7" fillId="2" borderId="0" pivotButton="0" quotePrefix="0" xfId="3"/>
    <xf numFmtId="168" fontId="7" fillId="2" borderId="5" pivotButton="0" quotePrefix="0" xfId="0"/>
    <xf numFmtId="168" fontId="7" fillId="2" borderId="11" pivotButton="0" quotePrefix="0" xfId="0"/>
    <xf numFmtId="0" fontId="6" fillId="7" borderId="12" pivotButton="0" quotePrefix="0" xfId="0"/>
    <xf numFmtId="38" fontId="2" fillId="7" borderId="0" applyAlignment="1" pivotButton="0" quotePrefix="0" xfId="0">
      <alignment horizontal="left"/>
    </xf>
    <xf numFmtId="38" fontId="2" fillId="7" borderId="0" applyAlignment="1" pivotButton="0" quotePrefix="0" xfId="0">
      <alignment horizontal="center"/>
    </xf>
    <xf numFmtId="14" fontId="2" fillId="7" borderId="0" applyAlignment="1" pivotButton="0" quotePrefix="0" xfId="0">
      <alignment horizontal="center"/>
    </xf>
    <xf numFmtId="38" fontId="2" fillId="7" borderId="0" applyAlignment="1" pivotButton="0" quotePrefix="1" xfId="0">
      <alignment horizontal="left"/>
    </xf>
    <xf numFmtId="165" fontId="2" fillId="7" borderId="0" applyAlignment="1" pivotButton="0" quotePrefix="0" xfId="0">
      <alignment horizontal="center"/>
    </xf>
    <xf numFmtId="164" fontId="2" fillId="7" borderId="0" applyAlignment="1" pivotButton="0" quotePrefix="0" xfId="0">
      <alignment horizontal="center"/>
    </xf>
    <xf numFmtId="166" fontId="2" fillId="7" borderId="0" applyAlignment="1" pivotButton="0" quotePrefix="0" xfId="0">
      <alignment horizontal="center"/>
    </xf>
    <xf numFmtId="1" fontId="2" fillId="7" borderId="0" applyAlignment="1" pivotButton="0" quotePrefix="0" xfId="0">
      <alignment horizontal="center"/>
    </xf>
    <xf numFmtId="38" fontId="2" fillId="7" borderId="0" applyAlignment="1" pivotButton="0" quotePrefix="0" xfId="0">
      <alignment horizontal="right"/>
    </xf>
    <xf numFmtId="0" fontId="2" fillId="7" borderId="0" applyAlignment="1" pivotButton="0" quotePrefix="0" xfId="0">
      <alignment horizontal="right"/>
    </xf>
    <xf numFmtId="0" fontId="2" fillId="7" borderId="0" applyAlignment="1" pivotButton="0" quotePrefix="0" xfId="0">
      <alignment horizontal="center"/>
    </xf>
    <xf numFmtId="0" fontId="6" fillId="7" borderId="0" pivotButton="0" quotePrefix="0" xfId="0"/>
    <xf numFmtId="0" fontId="6" fillId="7" borderId="13" pivotButton="0" quotePrefix="0" xfId="0"/>
    <xf numFmtId="38" fontId="2" fillId="7" borderId="14" applyAlignment="1" pivotButton="0" quotePrefix="0" xfId="0">
      <alignment horizontal="left"/>
    </xf>
    <xf numFmtId="38" fontId="2" fillId="7" borderId="14" applyAlignment="1" pivotButton="0" quotePrefix="0" xfId="0">
      <alignment horizontal="center"/>
    </xf>
    <xf numFmtId="14" fontId="2" fillId="7" borderId="14" applyAlignment="1" pivotButton="0" quotePrefix="0" xfId="0">
      <alignment horizontal="center"/>
    </xf>
    <xf numFmtId="38" fontId="2" fillId="7" borderId="14" applyAlignment="1" pivotButton="0" quotePrefix="1" xfId="0">
      <alignment horizontal="left"/>
    </xf>
    <xf numFmtId="165" fontId="2" fillId="7" borderId="14" applyAlignment="1" pivotButton="0" quotePrefix="0" xfId="0">
      <alignment horizontal="center"/>
    </xf>
    <xf numFmtId="164" fontId="2" fillId="7" borderId="14" applyAlignment="1" pivotButton="0" quotePrefix="0" xfId="0">
      <alignment horizontal="center"/>
    </xf>
    <xf numFmtId="166" fontId="2" fillId="7" borderId="14" applyAlignment="1" pivotButton="0" quotePrefix="0" xfId="0">
      <alignment horizontal="center"/>
    </xf>
    <xf numFmtId="1" fontId="2" fillId="7" borderId="14" applyAlignment="1" pivotButton="0" quotePrefix="0" xfId="0">
      <alignment horizontal="center"/>
    </xf>
    <xf numFmtId="38" fontId="2" fillId="7" borderId="14" applyAlignment="1" pivotButton="0" quotePrefix="0" xfId="0">
      <alignment horizontal="right"/>
    </xf>
    <xf numFmtId="0" fontId="2" fillId="7" borderId="14" applyAlignment="1" pivotButton="0" quotePrefix="0" xfId="0">
      <alignment horizontal="right"/>
    </xf>
    <xf numFmtId="0" fontId="2" fillId="7" borderId="14" applyAlignment="1" pivotButton="0" quotePrefix="0" xfId="0">
      <alignment horizontal="center"/>
    </xf>
    <xf numFmtId="0" fontId="6" fillId="7" borderId="14" pivotButton="0" quotePrefix="0" xfId="0"/>
    <xf numFmtId="168" fontId="7" fillId="2" borderId="0" pivotButton="0" quotePrefix="0" xfId="0"/>
    <xf numFmtId="168" fontId="7" fillId="2" borderId="10" pivotButton="0" quotePrefix="0" xfId="0"/>
    <xf numFmtId="168" fontId="7" fillId="2" borderId="9" pivotButton="0" quotePrefix="0" xfId="0"/>
    <xf numFmtId="172" fontId="7" fillId="2" borderId="0" pivotButton="0" quotePrefix="0" xfId="3"/>
    <xf numFmtId="168" fontId="7" fillId="0" borderId="0" pivotButton="0" quotePrefix="0" xfId="0"/>
    <xf numFmtId="171" fontId="7" fillId="0" borderId="0" pivotButton="0" quotePrefix="0" xfId="0"/>
    <xf numFmtId="167" fontId="7" fillId="0" borderId="0" pivotButton="0" quotePrefix="0" xfId="1"/>
    <xf numFmtId="172" fontId="7" fillId="0" borderId="0" pivotButton="0" quotePrefix="0" xfId="3"/>
    <xf numFmtId="168" fontId="7" fillId="2" borderId="11" pivotButton="0" quotePrefix="0" xfId="0"/>
    <xf numFmtId="168" fontId="7" fillId="0" borderId="9" pivotButton="0" quotePrefix="0" xfId="0"/>
    <xf numFmtId="166" fontId="7" fillId="0" borderId="0" pivotButton="0" quotePrefix="0" xfId="3"/>
    <xf numFmtId="167" fontId="7" fillId="0" borderId="0" pivotButton="0" quotePrefix="0" xfId="0"/>
    <xf numFmtId="168" fontId="7" fillId="2" borderId="5" pivotButton="0" quotePrefix="0" xfId="0"/>
    <xf numFmtId="166" fontId="0" fillId="0" borderId="0" pivotButton="0" quotePrefix="0" xfId="0"/>
    <xf numFmtId="164" fontId="5" fillId="0" borderId="0" applyAlignment="1" pivotButton="0" quotePrefix="0" xfId="0">
      <alignment horizontal="left"/>
    </xf>
    <xf numFmtId="164" fontId="2" fillId="0" borderId="0" applyAlignment="1" pivotButton="0" quotePrefix="0" xfId="0">
      <alignment horizontal="center"/>
    </xf>
    <xf numFmtId="166" fontId="2" fillId="0" borderId="0" applyAlignment="1" pivotButton="0" quotePrefix="0" xfId="0">
      <alignment horizontal="center"/>
    </xf>
    <xf numFmtId="165" fontId="2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4" fillId="0" borderId="0" applyAlignment="1" pivotButton="0" quotePrefix="0" xfId="0">
      <alignment horizontal="center"/>
    </xf>
    <xf numFmtId="166" fontId="4" fillId="0" borderId="0" applyAlignment="1" pivotButton="0" quotePrefix="0" xfId="0">
      <alignment horizontal="center"/>
    </xf>
    <xf numFmtId="165" fontId="2" fillId="2" borderId="0" applyAlignment="1" pivotButton="0" quotePrefix="0" xfId="0">
      <alignment horizontal="center"/>
    </xf>
    <xf numFmtId="164" fontId="2" fillId="2" borderId="0" applyAlignment="1" pivotButton="0" quotePrefix="0" xfId="0">
      <alignment horizontal="center"/>
    </xf>
    <xf numFmtId="166" fontId="2" fillId="2" borderId="0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6" fontId="2" fillId="0" borderId="1" applyAlignment="1" pivotButton="0" quotePrefix="0" xfId="0">
      <alignment horizontal="center"/>
    </xf>
    <xf numFmtId="165" fontId="2" fillId="5" borderId="0" applyAlignment="1" pivotButton="0" quotePrefix="0" xfId="0">
      <alignment horizontal="center"/>
    </xf>
    <xf numFmtId="164" fontId="2" fillId="5" borderId="0" applyAlignment="1" pivotButton="0" quotePrefix="0" xfId="0">
      <alignment horizontal="center"/>
    </xf>
    <xf numFmtId="166" fontId="2" fillId="5" borderId="0" applyAlignment="1" pivotButton="0" quotePrefix="0" xfId="0">
      <alignment horizontal="center"/>
    </xf>
    <xf numFmtId="165" fontId="2" fillId="7" borderId="0" applyAlignment="1" pivotButton="0" quotePrefix="0" xfId="0">
      <alignment horizontal="center"/>
    </xf>
    <xf numFmtId="164" fontId="2" fillId="7" borderId="0" applyAlignment="1" pivotButton="0" quotePrefix="0" xfId="0">
      <alignment horizontal="center"/>
    </xf>
    <xf numFmtId="166" fontId="2" fillId="7" borderId="0" applyAlignment="1" pivotButton="0" quotePrefix="0" xfId="0">
      <alignment horizontal="center"/>
    </xf>
    <xf numFmtId="165" fontId="2" fillId="7" borderId="14" applyAlignment="1" pivotButton="0" quotePrefix="0" xfId="0">
      <alignment horizontal="center"/>
    </xf>
    <xf numFmtId="164" fontId="2" fillId="7" borderId="14" applyAlignment="1" pivotButton="0" quotePrefix="0" xfId="0">
      <alignment horizontal="center"/>
    </xf>
    <xf numFmtId="166" fontId="2" fillId="7" borderId="14" applyAlignment="1" pivotButton="0" quotePrefix="0" xfId="0">
      <alignment horizontal="center"/>
    </xf>
  </cellXfs>
  <cellStyles count="4">
    <cellStyle name="Normal" xfId="0" builtinId="0"/>
    <cellStyle name="Comma" xfId="1" builtinId="3"/>
    <cellStyle name="Currency" xfId="2" builtinId="4"/>
    <cellStyle name="Percent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7"/>
  <sheetViews>
    <sheetView workbookViewId="0">
      <selection activeCell="A11" sqref="A11"/>
    </sheetView>
  </sheetViews>
  <sheetFormatPr baseColWidth="8" defaultRowHeight="12"/>
  <cols>
    <col width="15.5703125" customWidth="1" style="68" min="1" max="1"/>
    <col width="9.140625" customWidth="1" style="68" min="2" max="2"/>
    <col width="12.42578125" customWidth="1" style="68" min="3" max="3"/>
    <col width="10" bestFit="1" customWidth="1" style="68" min="4" max="4"/>
    <col width="11" customWidth="1" style="68" min="5" max="5"/>
    <col width="9.140625" customWidth="1" style="68" min="6" max="6"/>
    <col width="15" customWidth="1" style="68" min="7" max="7"/>
    <col width="9.140625" customWidth="1" style="68" min="8" max="11"/>
    <col width="14.7109375" customWidth="1" style="68" min="12" max="12"/>
    <col width="9.140625" customWidth="1" style="68" min="13" max="16384"/>
  </cols>
  <sheetData>
    <row r="1" ht="12.75" customHeight="1" s="51">
      <c r="A1" s="67" t="inlineStr">
        <is>
          <t>Algonquin</t>
        </is>
      </c>
      <c r="M1" s="140" t="n"/>
      <c r="N1" s="140" t="n"/>
    </row>
    <row r="2" ht="12.75" customHeight="1" s="51">
      <c r="A2" s="140" t="n"/>
      <c r="B2" s="140" t="n"/>
      <c r="C2" s="140" t="n"/>
      <c r="D2" s="140" t="n"/>
      <c r="E2" s="140" t="n"/>
      <c r="F2" s="140" t="n"/>
      <c r="G2" s="140" t="n"/>
      <c r="H2" s="140" t="n"/>
      <c r="I2" s="140" t="n"/>
      <c r="J2" s="140" t="n"/>
      <c r="K2" s="140" t="n"/>
      <c r="L2" s="140" t="n"/>
      <c r="M2" s="140" t="n"/>
      <c r="N2" s="140" t="n"/>
    </row>
    <row r="3" ht="12.75" customHeight="1" s="51">
      <c r="A3" s="68" t="inlineStr">
        <is>
          <t>Index</t>
        </is>
      </c>
      <c r="B3" s="68" t="inlineStr">
        <is>
          <t>M3</t>
        </is>
      </c>
      <c r="C3" s="176" t="n">
        <v>4.72</v>
      </c>
      <c r="E3" s="176" t="n">
        <v>4.72</v>
      </c>
      <c r="M3" s="140" t="n"/>
      <c r="N3" s="140" t="n"/>
    </row>
    <row r="4" ht="12.75" customHeight="1" s="51">
      <c r="A4" s="68" t="inlineStr">
        <is>
          <t>Index [Person_1]</t>
        </is>
      </c>
      <c r="C4" s="176" t="n">
        <v>0.01</v>
      </c>
      <c r="E4" s="176" t="n">
        <v>0.1</v>
      </c>
      <c r="M4" s="140" t="n"/>
      <c r="N4" s="140" t="n"/>
    </row>
    <row r="5" ht="12.75" customHeight="1" s="51">
      <c r="A5" s="68" t="inlineStr">
        <is>
          <t>Algo Comm</t>
        </is>
      </c>
      <c r="C5" s="176" t="n">
        <v>0.0112</v>
      </c>
      <c r="E5" s="176" t="n">
        <v>0.0112</v>
      </c>
      <c r="M5" s="140" t="n"/>
      <c r="N5" s="140" t="n"/>
    </row>
    <row r="6" ht="12.75" customHeight="1" s="51">
      <c r="A6" s="68" t="inlineStr">
        <is>
          <t>Surcharges</t>
        </is>
      </c>
      <c r="C6" s="176" t="n">
        <v>0.0094</v>
      </c>
      <c r="E6" s="176" t="n">
        <v>0.0094</v>
      </c>
      <c r="M6" s="140" t="n"/>
      <c r="N6" s="140" t="n"/>
    </row>
    <row r="7" ht="12.75" customHeight="1" s="51">
      <c r="A7" s="68" t="inlineStr">
        <is>
          <t>Fuel</t>
        </is>
      </c>
      <c r="C7" s="144" t="n">
        <v>0.0058</v>
      </c>
      <c r="E7" s="144" t="n">
        <v>0.0058</v>
      </c>
      <c r="M7" s="140" t="n"/>
      <c r="N7" s="140" t="n"/>
    </row>
    <row r="8" ht="12.75" customHeight="1" s="51">
      <c r="A8" s="68" t="inlineStr">
        <is>
          <t>Algo Transport</t>
        </is>
      </c>
      <c r="C8" s="177">
        <f>ROUND(+C3/(1-C7)+(C5+C6),4)-C3</f>
        <v/>
      </c>
      <c r="E8" s="177">
        <f>ROUND(+E3/(1-E7)+(E5+E6),4)-E3</f>
        <v/>
      </c>
      <c r="M8" s="140" t="n"/>
      <c r="N8" s="140" t="n"/>
    </row>
    <row r="9" ht="13.5" customHeight="1" s="51" thickBot="1">
      <c r="C9" s="178">
        <f>SUM(C3,C4,C8)</f>
        <v/>
      </c>
      <c r="D9" s="68" t="inlineStr">
        <is>
          <t> </t>
        </is>
      </c>
      <c r="E9" s="178">
        <f>SUM(E3,E4,E8)</f>
        <v/>
      </c>
      <c r="F9" s="140" t="n"/>
      <c r="G9" s="140" t="n"/>
      <c r="H9" s="140" t="n"/>
      <c r="I9" s="140" t="n"/>
      <c r="J9" s="140" t="n"/>
      <c r="K9" s="140" t="n"/>
      <c r="L9" s="140" t="n"/>
      <c r="M9" s="140" t="n"/>
      <c r="N9" s="140" t="n"/>
    </row>
    <row r="10" ht="13.5" customHeight="1" s="51" thickTop="1">
      <c r="F10" s="140" t="n"/>
      <c r="G10" s="140" t="n"/>
      <c r="H10" s="140" t="n"/>
      <c r="I10" s="140" t="n"/>
      <c r="J10" s="140" t="n"/>
      <c r="K10" s="140" t="n"/>
      <c r="L10" s="140" t="n"/>
      <c r="M10" s="140" t="n"/>
      <c r="N10" s="140" t="n"/>
    </row>
    <row r="11" ht="12.75" customHeight="1" s="51">
      <c r="A11" s="68" t="inlineStr">
        <is>
          <t>Deal 228293</t>
        </is>
      </c>
      <c r="B11" s="68" t="inlineStr">
        <is>
          <t> </t>
        </is>
      </c>
      <c r="F11" s="140" t="n"/>
      <c r="G11" s="140" t="n"/>
      <c r="H11" s="140" t="n"/>
      <c r="I11" s="140" t="n"/>
      <c r="J11" s="140" t="n"/>
      <c r="K11" s="140" t="n"/>
      <c r="L11" s="140" t="n"/>
      <c r="M11" s="140" t="n"/>
      <c r="N11" s="140" t="n"/>
    </row>
    <row r="12" ht="12.75" customHeight="1" s="51">
      <c r="B12" s="68" t="inlineStr">
        <is>
          <t> </t>
        </is>
      </c>
      <c r="F12" s="140" t="n"/>
      <c r="G12" s="140" t="n"/>
      <c r="H12" s="140" t="n"/>
      <c r="I12" s="140" t="n"/>
      <c r="J12" s="140" t="n"/>
      <c r="K12" s="140" t="n"/>
      <c r="L12" s="140" t="n"/>
      <c r="M12" s="140" t="n"/>
      <c r="N12" s="140" t="n"/>
    </row>
    <row r="13" ht="12.75" customHeight="1" s="51">
      <c r="B13" s="68" t="inlineStr">
        <is>
          <t> </t>
        </is>
      </c>
      <c r="F13" s="140" t="n"/>
      <c r="G13" s="140" t="n"/>
      <c r="H13" s="140" t="n"/>
      <c r="I13" s="140" t="n"/>
      <c r="J13" s="140" t="n"/>
      <c r="K13" s="140" t="n"/>
      <c r="L13" s="140" t="n"/>
      <c r="M13" s="140" t="n"/>
      <c r="N13" s="140" t="n"/>
    </row>
    <row r="14" ht="12.75" customHeight="1" s="51">
      <c r="A14" s="140" t="n"/>
      <c r="B14" s="140" t="n"/>
      <c r="C14" s="140" t="n"/>
      <c r="D14" s="140" t="n"/>
      <c r="E14" s="140" t="n"/>
      <c r="F14" s="140" t="n"/>
      <c r="G14" s="140" t="n"/>
      <c r="H14" s="140" t="n"/>
      <c r="I14" s="140" t="n"/>
      <c r="J14" s="140" t="n"/>
      <c r="K14" s="140" t="n"/>
      <c r="L14" s="140" t="n"/>
      <c r="M14" s="140" t="n"/>
      <c r="N14" s="140" t="n"/>
    </row>
    <row r="15" ht="12.75" customHeight="1" s="51">
      <c r="A15" s="140" t="n"/>
      <c r="B15" s="140" t="n"/>
      <c r="C15" s="140" t="n"/>
      <c r="D15" s="140" t="n"/>
      <c r="E15" s="140" t="n"/>
      <c r="F15" s="140" t="n"/>
      <c r="G15" s="140" t="n"/>
      <c r="H15" s="140" t="n"/>
      <c r="I15" s="140" t="n"/>
      <c r="J15" s="140" t="n"/>
      <c r="K15" s="140" t="n"/>
      <c r="L15" s="140" t="n"/>
      <c r="M15" s="140" t="n"/>
      <c r="N15" s="140" t="n"/>
    </row>
    <row r="16" ht="12.75" customHeight="1" s="51">
      <c r="A16" s="140" t="n"/>
      <c r="B16" s="140" t="n"/>
      <c r="C16" s="140" t="n"/>
      <c r="D16" s="140" t="n"/>
      <c r="E16" s="140" t="n"/>
      <c r="F16" s="140" t="n"/>
      <c r="G16" s="140" t="n"/>
      <c r="H16" s="140" t="n"/>
      <c r="I16" s="140" t="n"/>
      <c r="J16" s="140" t="n"/>
      <c r="K16" s="140" t="n"/>
      <c r="L16" s="140" t="n"/>
      <c r="M16" s="140" t="n"/>
      <c r="N16" s="140" t="n"/>
    </row>
    <row r="17" ht="12.75" customHeight="1" s="51">
      <c r="A17" s="67" t="inlineStr">
        <is>
          <t>CGAS</t>
        </is>
      </c>
      <c r="C17" s="68" t="inlineStr">
        <is>
          <t>FTS</t>
        </is>
      </c>
      <c r="D17" s="68" t="inlineStr">
        <is>
          <t>[Person_2]</t>
        </is>
      </c>
      <c r="E17" s="68" t="inlineStr">
        <is>
          <t> </t>
        </is>
      </c>
      <c r="F17" s="140" t="n"/>
      <c r="G17" s="140" t="n"/>
      <c r="H17" s="140" t="n"/>
      <c r="I17" s="140" t="n"/>
      <c r="J17" s="140" t="n"/>
      <c r="K17" s="140" t="n"/>
      <c r="L17" s="140" t="n"/>
      <c r="M17" s="140" t="n"/>
      <c r="N17" s="140" t="n"/>
    </row>
    <row r="18" ht="12.75" customHeight="1" s="51">
      <c r="A18" s="68" t="inlineStr">
        <is>
          <t>Index</t>
        </is>
      </c>
      <c r="B18" s="68" t="inlineStr">
        <is>
          <t>CGAS</t>
        </is>
      </c>
      <c r="C18" s="176" t="n">
        <v>4.52</v>
      </c>
      <c r="E18" s="176" t="n">
        <v>4.52</v>
      </c>
      <c r="F18" s="140" t="n"/>
      <c r="G18" s="140" t="inlineStr">
        <is>
          <t>Storage Injection:</t>
        </is>
      </c>
      <c r="H18" s="140" t="n"/>
      <c r="I18" s="176">
        <f>+C24</f>
        <v/>
      </c>
      <c r="J18" s="140" t="n"/>
      <c r="K18" s="140" t="n"/>
      <c r="L18" s="140" t="n"/>
      <c r="M18" s="140" t="n"/>
      <c r="N18" s="140" t="n"/>
    </row>
    <row r="19" ht="12.75" customHeight="1" s="51">
      <c r="A19" s="68" t="inlineStr">
        <is>
          <t>Index [Person_1]</t>
        </is>
      </c>
      <c r="C19" s="176" t="n">
        <v>0.0075</v>
      </c>
      <c r="E19" s="176" t="n">
        <v>0.0075</v>
      </c>
      <c r="F19" s="140" t="n"/>
      <c r="G19" s="140" t="n"/>
      <c r="H19" s="140" t="n"/>
      <c r="I19" s="176" t="n">
        <v>0</v>
      </c>
      <c r="J19" s="140" t="n"/>
      <c r="K19" s="140" t="n"/>
      <c r="L19" s="140" t="n"/>
      <c r="M19" s="140" t="n"/>
      <c r="N19" s="140" t="n"/>
    </row>
    <row r="20" ht="12.75" customHeight="1" s="51">
      <c r="A20" s="68" t="inlineStr">
        <is>
          <t>Comm</t>
        </is>
      </c>
      <c r="C20" s="176" t="n">
        <v>0.0133</v>
      </c>
      <c r="E20" s="176" t="n">
        <v>0.0133</v>
      </c>
      <c r="F20" s="140" t="n"/>
      <c r="G20" s="140" t="inlineStr">
        <is>
          <t>Inj Comm</t>
        </is>
      </c>
      <c r="H20" s="140" t="n"/>
      <c r="I20" s="176" t="n">
        <v>0.0153</v>
      </c>
      <c r="J20" s="140" t="n"/>
      <c r="K20" s="140" t="n"/>
      <c r="L20" s="140" t="n"/>
      <c r="M20" s="140" t="n"/>
      <c r="N20" s="140" t="n"/>
    </row>
    <row r="21" ht="12.75" customHeight="1" s="51">
      <c r="A21" s="68" t="inlineStr">
        <is>
          <t>Surcharges</t>
        </is>
      </c>
      <c r="C21" s="176" t="n">
        <v>0.0094</v>
      </c>
      <c r="E21" s="176" t="n">
        <v>0.0094</v>
      </c>
      <c r="F21" s="140" t="n"/>
      <c r="G21" s="140" t="inlineStr">
        <is>
          <t>Fuel</t>
        </is>
      </c>
      <c r="H21" s="140" t="n"/>
      <c r="I21" s="179" t="n">
        <v>0.0017</v>
      </c>
      <c r="J21" s="140" t="n"/>
      <c r="K21" s="140" t="n"/>
      <c r="L21" s="140" t="n"/>
      <c r="M21" s="140" t="n"/>
      <c r="N21" s="140" t="n"/>
    </row>
    <row r="22" ht="12.75" customHeight="1" s="51">
      <c r="A22" s="68" t="inlineStr">
        <is>
          <t>Fuel</t>
        </is>
      </c>
      <c r="C22" s="179" t="n">
        <v>0.02184</v>
      </c>
      <c r="E22" s="179" t="n">
        <v>0.02184</v>
      </c>
      <c r="F22" s="140" t="n"/>
      <c r="G22" s="140" t="n"/>
      <c r="H22" s="140" t="n"/>
      <c r="I22" s="177">
        <f>ROUND(+I18/(1-I21)+I20,4)-I18</f>
        <v/>
      </c>
      <c r="J22" s="140" t="n"/>
      <c r="K22" s="140" t="n"/>
      <c r="L22" s="140" t="n"/>
      <c r="M22" s="140" t="n"/>
      <c r="N22" s="140" t="n"/>
    </row>
    <row r="23" ht="13.5" customHeight="1" s="51" thickBot="1">
      <c r="A23" s="68" t="inlineStr">
        <is>
          <t>Transport</t>
        </is>
      </c>
      <c r="C23" s="177">
        <f>ROUND(+C18/(1-C22)+(C20+C21),4)-C18</f>
        <v/>
      </c>
      <c r="E23" s="177">
        <f>ROUND(+E18/(1-E22)+(E20+E21),4)-E18</f>
        <v/>
      </c>
      <c r="F23" s="140" t="n"/>
      <c r="G23" s="140" t="n"/>
      <c r="H23" s="140" t="n"/>
      <c r="I23" s="178">
        <f>I18+I22</f>
        <v/>
      </c>
      <c r="J23" s="140" t="n"/>
      <c r="K23" s="140" t="n"/>
      <c r="L23" s="108" t="n"/>
      <c r="M23" s="140" t="n"/>
      <c r="N23" s="140" t="n"/>
    </row>
    <row r="24" ht="14.25" customHeight="1" s="51" thickBot="1" thickTop="1">
      <c r="C24" s="178">
        <f>SUM(C18,C19,C23)</f>
        <v/>
      </c>
      <c r="E24" s="177" t="n">
        <v>0.02</v>
      </c>
      <c r="F24" s="140" t="n"/>
      <c r="G24" s="140" t="n"/>
      <c r="H24" s="140" t="n"/>
      <c r="I24" s="180" t="inlineStr">
        <is>
          <t> </t>
        </is>
      </c>
      <c r="J24" s="140" t="n"/>
      <c r="K24" s="140" t="n"/>
      <c r="L24" s="108" t="n"/>
      <c r="M24" s="140" t="n"/>
      <c r="N24" s="140" t="n"/>
    </row>
    <row r="25" ht="14.25" customHeight="1" s="51" thickBot="1" thickTop="1">
      <c r="A25" s="68" t="inlineStr">
        <is>
          <t>Deal 227081, 227113</t>
        </is>
      </c>
      <c r="E25" s="178">
        <f>+E24+E23+E18</f>
        <v/>
      </c>
      <c r="F25" s="68" t="inlineStr">
        <is>
          <t>Deal 235398</t>
        </is>
      </c>
      <c r="H25" s="140" t="n"/>
      <c r="I25" s="140" t="n"/>
      <c r="J25" s="140" t="n"/>
      <c r="K25" s="140" t="n"/>
      <c r="L25" s="108" t="n"/>
      <c r="M25" s="140" t="n"/>
      <c r="N25" s="140" t="n"/>
    </row>
    <row r="26" ht="13.5" customHeight="1" s="51" thickTop="1">
      <c r="C26" s="103" t="n"/>
      <c r="E26" s="103" t="n"/>
      <c r="H26" s="140" t="n"/>
      <c r="I26" s="140" t="n"/>
      <c r="J26" s="140" t="n"/>
      <c r="K26" s="140" t="n"/>
      <c r="L26" s="108" t="n"/>
      <c r="M26" s="140" t="n"/>
      <c r="N26" s="140" t="n"/>
    </row>
    <row r="27" ht="12.75" customHeight="1" s="51">
      <c r="C27" s="181" t="n"/>
      <c r="E27" s="181" t="n"/>
      <c r="H27" s="140" t="n"/>
      <c r="I27" s="140" t="n"/>
      <c r="J27" s="140" t="n"/>
      <c r="K27" s="140" t="n"/>
      <c r="L27" s="108" t="n"/>
      <c r="M27" s="140" t="n"/>
      <c r="N27" s="140" t="n"/>
    </row>
    <row r="28" ht="12.75" customHeight="1" s="51">
      <c r="A28" s="67" t="inlineStr">
        <is>
          <t>CGLF</t>
        </is>
      </c>
      <c r="C28" s="68" t="inlineStr">
        <is>
          <t>FT-1</t>
        </is>
      </c>
      <c r="D28" s="68" t="inlineStr">
        <is>
          <t>Volume</t>
        </is>
      </c>
      <c r="E28" s="68" t="n"/>
      <c r="F28" s="140" t="n"/>
      <c r="G28" s="140" t="n"/>
      <c r="H28" s="140" t="n"/>
      <c r="I28" s="140" t="n"/>
      <c r="J28" s="140" t="n"/>
      <c r="K28" s="140" t="n"/>
      <c r="L28" s="140" t="n"/>
      <c r="M28" s="140" t="n"/>
      <c r="N28" s="140" t="n"/>
    </row>
    <row r="29" ht="12.75" customHeight="1" s="51">
      <c r="A29" s="68" t="inlineStr">
        <is>
          <t>Index</t>
        </is>
      </c>
      <c r="B29" s="68" t="inlineStr">
        <is>
          <t>CGLF</t>
        </is>
      </c>
      <c r="C29" s="176" t="n">
        <v>4.34</v>
      </c>
      <c r="D29" s="182" t="n">
        <v>1155</v>
      </c>
      <c r="E29" s="68" t="inlineStr">
        <is>
          <t>Deal 318748 (bookout with deal 202939)</t>
        </is>
      </c>
      <c r="F29" s="140" t="n"/>
      <c r="G29" s="140" t="n"/>
      <c r="H29" s="140" t="n"/>
      <c r="I29" s="180" t="n"/>
      <c r="J29" s="140" t="n"/>
      <c r="K29" s="140" t="n"/>
      <c r="L29" s="140" t="n"/>
      <c r="M29" s="140" t="n"/>
      <c r="N29" s="140" t="n"/>
    </row>
    <row r="30" ht="12.75" customHeight="1" s="51">
      <c r="A30" s="68" t="inlineStr">
        <is>
          <t>Index [Person_1]</t>
        </is>
      </c>
      <c r="C30" s="176" t="n">
        <v>0.06</v>
      </c>
      <c r="D30" s="68" t="n"/>
      <c r="E30" s="180" t="n"/>
      <c r="F30" s="140" t="n"/>
      <c r="G30" s="140" t="n"/>
      <c r="H30" s="140" t="n"/>
      <c r="I30" s="180" t="n"/>
      <c r="J30" s="140" t="n"/>
      <c r="K30" s="140" t="n"/>
      <c r="L30" s="140" t="n"/>
      <c r="M30" s="140" t="n"/>
      <c r="N30" s="140" t="n"/>
    </row>
    <row r="31" ht="12.75" customHeight="1" s="51">
      <c r="A31" s="68" t="inlineStr">
        <is>
          <t>Comm</t>
        </is>
      </c>
      <c r="C31" s="176" t="n">
        <v>0.017</v>
      </c>
      <c r="D31" s="68" t="n"/>
      <c r="E31" s="180" t="n"/>
      <c r="F31" s="140" t="n"/>
      <c r="G31" s="140" t="n"/>
      <c r="H31" s="140" t="n"/>
      <c r="I31" s="180" t="n"/>
      <c r="J31" s="140" t="n"/>
      <c r="K31" s="140" t="n"/>
      <c r="L31" s="140" t="n"/>
      <c r="M31" s="140" t="n"/>
      <c r="N31" s="140" t="n"/>
    </row>
    <row r="32" ht="12.75" customHeight="1" s="51">
      <c r="A32" s="68" t="inlineStr">
        <is>
          <t>Surcharges</t>
        </is>
      </c>
      <c r="C32" s="176" t="n">
        <v>0.0022</v>
      </c>
      <c r="D32" s="68" t="n"/>
      <c r="E32" s="180" t="n"/>
      <c r="F32" s="140" t="n"/>
      <c r="G32" s="140" t="n"/>
      <c r="H32" s="140" t="n"/>
      <c r="I32" s="183" t="n"/>
      <c r="J32" s="140" t="n"/>
      <c r="K32" s="140" t="n"/>
      <c r="L32" s="140" t="n"/>
      <c r="M32" s="140" t="n"/>
      <c r="N32" s="140" t="n"/>
    </row>
    <row r="33" ht="12.75" customHeight="1" s="51">
      <c r="A33" s="68" t="inlineStr">
        <is>
          <t>Fuel</t>
        </is>
      </c>
      <c r="C33" s="179" t="n">
        <v>0.0282</v>
      </c>
      <c r="D33" s="68">
        <f>ROUND(+D29*(1-C33),0)</f>
        <v/>
      </c>
      <c r="E33" s="183" t="inlineStr">
        <is>
          <t>Deals 318750 and 318749</t>
        </is>
      </c>
      <c r="F33" s="140" t="n"/>
      <c r="G33" s="140" t="n"/>
      <c r="H33" s="140" t="n"/>
      <c r="I33" s="180" t="n"/>
      <c r="J33" s="140" t="n"/>
      <c r="K33" s="140" t="n"/>
      <c r="L33" s="140" t="n"/>
      <c r="M33" s="140" t="n"/>
      <c r="N33" s="140" t="n"/>
    </row>
    <row r="34" ht="12.75" customHeight="1" s="51">
      <c r="A34" s="68" t="inlineStr">
        <is>
          <t>Transport</t>
        </is>
      </c>
      <c r="C34" s="177">
        <f>ROUND((+C29+C30)/(1-C33)+(C31+C32),4)-C29-C30</f>
        <v/>
      </c>
      <c r="D34" s="68" t="n"/>
      <c r="E34" s="180" t="n"/>
      <c r="F34" s="140" t="n"/>
      <c r="G34" s="140" t="n"/>
      <c r="H34" s="140" t="n"/>
      <c r="I34" s="180" t="n"/>
      <c r="J34" s="140" t="n"/>
      <c r="K34" s="140" t="n"/>
      <c r="L34" s="108" t="n"/>
      <c r="M34" s="140" t="n"/>
      <c r="N34" s="140" t="n"/>
    </row>
    <row r="35" ht="13.5" customHeight="1" s="51" thickBot="1">
      <c r="C35" s="178">
        <f>SUM(C29,C30,C34)</f>
        <v/>
      </c>
      <c r="D35" s="68" t="n"/>
      <c r="E35" s="180" t="n"/>
      <c r="F35" s="140" t="n"/>
      <c r="G35" s="140" t="n"/>
      <c r="H35" s="140" t="n"/>
      <c r="I35" s="180" t="n"/>
      <c r="J35" s="140" t="n"/>
      <c r="K35" s="140" t="n"/>
      <c r="L35" s="108" t="n"/>
      <c r="M35" s="140" t="n"/>
      <c r="N35" s="140" t="n"/>
    </row>
    <row r="36" ht="13.5" customHeight="1" s="51" thickTop="1">
      <c r="A36" s="68" t="inlineStr">
        <is>
          <t>Deal 227081, 227113</t>
        </is>
      </c>
      <c r="D36" s="68" t="n"/>
      <c r="E36" s="180" t="n"/>
      <c r="F36" s="68" t="n"/>
      <c r="G36" s="68" t="n"/>
      <c r="H36" s="140" t="n"/>
      <c r="I36" s="140" t="n"/>
      <c r="J36" s="140" t="n"/>
      <c r="K36" s="140" t="n"/>
      <c r="L36" s="108" t="n"/>
      <c r="M36" s="140" t="n"/>
      <c r="N36" s="140" t="n"/>
    </row>
    <row r="37" ht="12.75" customHeight="1" s="51">
      <c r="C37" s="103" t="n"/>
      <c r="E37" s="103" t="n"/>
      <c r="H37" s="140" t="n"/>
      <c r="I37" s="140" t="n"/>
      <c r="J37" s="140" t="n"/>
      <c r="K37" s="140" t="n"/>
      <c r="L37" s="108" t="n"/>
      <c r="M37" s="140" t="n"/>
      <c r="N37" s="140" t="n"/>
    </row>
    <row r="38" ht="12.75" customHeight="1" s="51">
      <c r="A38" s="68" t="inlineStr">
        <is>
          <t>Note:  CES purchased gas from ENA at CGLF Mainline (deal 202939).  ENA will buy this gas back at the CGLF Onshore Index plus $.06,</t>
        </is>
      </c>
      <c r="C38" s="181" t="n"/>
      <c r="E38" s="181" t="n"/>
      <c r="H38" s="140" t="n"/>
      <c r="I38" s="140" t="n"/>
      <c r="J38" s="140" t="n"/>
      <c r="K38" s="140" t="n"/>
      <c r="L38" s="108" t="n"/>
      <c r="M38" s="140" t="n"/>
      <c r="N38" s="140" t="n"/>
    </row>
    <row r="39" ht="12.75" customHeight="1" s="51">
      <c r="B39" s="68" t="inlineStr">
        <is>
          <t>and sell the gas back to CES at CGAS pool at CGLFOnshore Index +$.06 + variable cost from Mainline to Leach.</t>
        </is>
      </c>
      <c r="C39" s="180" t="n"/>
      <c r="H39" s="140" t="n"/>
      <c r="I39" s="140" t="n"/>
      <c r="J39" s="140" t="n"/>
      <c r="K39" s="140" t="n"/>
      <c r="L39" s="108" t="n"/>
      <c r="M39" s="140" t="n"/>
      <c r="N39" s="140" t="n"/>
    </row>
    <row r="40" ht="12.75" customHeight="1" s="51">
      <c r="A40" s="140" t="n"/>
      <c r="B40" s="140" t="inlineStr">
        <is>
          <t>ENA will buy the CGAS Pool gas back at the FOM price for CGAS.</t>
        </is>
      </c>
      <c r="C40" s="140" t="n"/>
      <c r="D40" s="140" t="n"/>
      <c r="E40" s="140" t="n"/>
      <c r="F40" s="140" t="n"/>
      <c r="G40" s="140" t="n"/>
      <c r="H40" s="140" t="n"/>
      <c r="I40" s="140" t="n"/>
      <c r="J40" s="140" t="n"/>
      <c r="K40" s="140" t="n"/>
      <c r="L40" s="140" t="n"/>
      <c r="M40" s="140" t="n"/>
      <c r="N40" s="140" t="n"/>
    </row>
    <row r="41" ht="12.75" customHeight="1" s="51">
      <c r="A41" s="140" t="n"/>
      <c r="B41" s="140" t="n"/>
      <c r="C41" s="140" t="n"/>
      <c r="D41" s="140" t="n"/>
      <c r="E41" s="140" t="n"/>
      <c r="F41" s="140" t="n"/>
      <c r="G41" s="140" t="n"/>
      <c r="H41" s="140" t="n"/>
      <c r="I41" s="140" t="n"/>
      <c r="J41" s="140" t="n"/>
      <c r="K41" s="140" t="n"/>
      <c r="L41" s="140" t="n"/>
      <c r="M41" s="140" t="n"/>
      <c r="N41" s="140" t="n"/>
    </row>
    <row r="42" ht="12.75" customHeight="1" s="51">
      <c r="A42" s="140" t="n"/>
      <c r="B42" s="140" t="n"/>
      <c r="C42" s="140" t="n"/>
      <c r="D42" s="140" t="n"/>
      <c r="E42" s="140" t="n"/>
      <c r="F42" s="140" t="n"/>
      <c r="G42" s="140" t="n"/>
      <c r="H42" s="140" t="n"/>
      <c r="I42" s="140" t="n"/>
      <c r="J42" s="140" t="n"/>
      <c r="K42" s="140" t="n"/>
      <c r="L42" s="140" t="n"/>
      <c r="M42" s="140" t="n"/>
      <c r="N42" s="140" t="n"/>
    </row>
    <row r="43" ht="12.75" customHeight="1" s="51">
      <c r="A43" s="140" t="n"/>
      <c r="B43" s="140" t="n"/>
      <c r="C43" s="140" t="n"/>
      <c r="D43" s="140" t="n"/>
      <c r="E43" s="140" t="n"/>
      <c r="F43" s="140" t="n"/>
      <c r="G43" s="140" t="n"/>
      <c r="H43" s="140" t="n"/>
      <c r="I43" s="140" t="n"/>
      <c r="J43" s="140" t="n"/>
      <c r="K43" s="140" t="n"/>
      <c r="L43" s="140" t="n"/>
      <c r="M43" s="140" t="n"/>
      <c r="N43" s="140" t="n"/>
    </row>
    <row r="44" ht="12.75" customHeight="1" s="51">
      <c r="A44" s="140" t="n"/>
      <c r="B44" s="140" t="n"/>
      <c r="C44" s="140" t="n"/>
      <c r="D44" s="140" t="n"/>
      <c r="E44" s="140" t="n"/>
      <c r="F44" s="140" t="n"/>
      <c r="G44" s="140" t="n"/>
      <c r="H44" s="140" t="n"/>
      <c r="I44" s="140" t="n"/>
      <c r="J44" s="140" t="n"/>
      <c r="K44" s="140" t="n"/>
      <c r="L44" s="140" t="n"/>
      <c r="M44" s="140" t="n"/>
      <c r="N44" s="140" t="n"/>
    </row>
    <row r="45" ht="12.75" customHeight="1" s="51">
      <c r="A45" s="140" t="n"/>
      <c r="B45" s="140" t="n"/>
      <c r="C45" s="140" t="n"/>
      <c r="D45" s="140" t="n"/>
      <c r="E45" s="140" t="n"/>
      <c r="F45" s="140" t="n"/>
      <c r="G45" s="140" t="n"/>
      <c r="H45" s="140" t="n"/>
      <c r="I45" s="140" t="n"/>
      <c r="J45" s="140" t="n"/>
      <c r="K45" s="140" t="n"/>
      <c r="L45" s="140" t="n"/>
      <c r="M45" s="140" t="n"/>
      <c r="N45" s="140" t="n"/>
    </row>
    <row r="46" ht="12.75" customHeight="1" s="51">
      <c r="A46" s="67" t="inlineStr">
        <is>
          <t>CNG</t>
        </is>
      </c>
      <c r="C46" s="68" t="inlineStr">
        <is>
          <t>CES S-N Transport</t>
        </is>
      </c>
      <c r="E46" s="68" t="inlineStr">
        <is>
          <t>North Citygate</t>
        </is>
      </c>
      <c r="G46" s="68" t="inlineStr">
        <is>
          <t>South Citygate</t>
        </is>
      </c>
      <c r="H46" s="140" t="n"/>
      <c r="I46" s="140" t="n"/>
      <c r="J46" s="140" t="n"/>
      <c r="K46" s="140" t="n"/>
      <c r="L46" s="140" t="n"/>
      <c r="M46" s="140" t="n"/>
      <c r="N46" s="140" t="n"/>
    </row>
    <row r="47" ht="12.75" customHeight="1" s="51">
      <c r="A47" s="68" t="inlineStr">
        <is>
          <t>Index</t>
        </is>
      </c>
      <c r="B47" s="68" t="inlineStr">
        <is>
          <t>CNG</t>
        </is>
      </c>
      <c r="C47" s="176" t="n">
        <v>4.56</v>
      </c>
      <c r="E47" s="176" t="n">
        <v>4.56</v>
      </c>
      <c r="G47" s="176" t="n">
        <v>4.56</v>
      </c>
      <c r="H47" s="140" t="n"/>
      <c r="I47" s="140" t="n"/>
      <c r="J47" s="140" t="n"/>
      <c r="K47" s="140" t="n"/>
      <c r="L47" s="140" t="n"/>
      <c r="M47" s="140" t="n"/>
      <c r="N47" s="140" t="n"/>
    </row>
    <row r="48" ht="12.75" customHeight="1" s="51">
      <c r="A48" s="68" t="inlineStr">
        <is>
          <t>Index [Person_1]</t>
        </is>
      </c>
      <c r="C48" s="176" t="n">
        <v>0.0075</v>
      </c>
      <c r="E48" s="176" t="n">
        <v>0.0075</v>
      </c>
      <c r="G48" s="176" t="n">
        <v>0.0075</v>
      </c>
      <c r="H48" s="140" t="n"/>
      <c r="I48" s="140" t="n"/>
      <c r="J48" s="140" t="n"/>
      <c r="K48" s="140" t="n"/>
      <c r="L48" s="140" t="n"/>
      <c r="M48" s="140" t="n"/>
      <c r="N48" s="140" t="n"/>
    </row>
    <row r="49" ht="12.75" customHeight="1" s="51">
      <c r="A49" s="68" t="inlineStr">
        <is>
          <t>Comm</t>
        </is>
      </c>
      <c r="C49" s="176" t="n">
        <v>0.0395</v>
      </c>
      <c r="E49" s="176" t="n">
        <v>0.0395</v>
      </c>
      <c r="G49" s="176" t="n">
        <v>0.0395</v>
      </c>
      <c r="H49" s="140" t="n"/>
      <c r="I49" s="140" t="n"/>
      <c r="J49" s="140" t="n"/>
      <c r="K49" s="140" t="n"/>
      <c r="L49" s="140" t="n"/>
      <c r="M49" s="140" t="n"/>
      <c r="N49" s="140" t="n"/>
    </row>
    <row r="50" ht="12.75" customHeight="1" s="51">
      <c r="A50" s="68" t="inlineStr">
        <is>
          <t>Surcharges</t>
        </is>
      </c>
      <c r="C50" s="176" t="n">
        <v>0.0022</v>
      </c>
      <c r="E50" s="176" t="n">
        <v>0.0022</v>
      </c>
      <c r="G50" s="176" t="n">
        <v>0.0022</v>
      </c>
      <c r="H50" s="140" t="n"/>
      <c r="I50" s="140" t="n"/>
      <c r="J50" s="140" t="n"/>
      <c r="K50" s="140" t="n"/>
      <c r="L50" s="140" t="n"/>
      <c r="M50" s="140" t="n"/>
      <c r="N50" s="140" t="n"/>
    </row>
    <row r="51" ht="12.75" customHeight="1" s="51">
      <c r="A51" s="68" t="inlineStr">
        <is>
          <t>Fuel</t>
        </is>
      </c>
      <c r="C51" s="144" t="n">
        <v>0.0228</v>
      </c>
      <c r="E51" s="144" t="n">
        <v>0.0228</v>
      </c>
      <c r="G51" s="144" t="n">
        <v>0.0228</v>
      </c>
      <c r="H51" s="140" t="n"/>
      <c r="I51" s="140" t="n"/>
      <c r="J51" s="140" t="n"/>
      <c r="K51" s="140" t="n"/>
      <c r="L51" s="140" t="n"/>
      <c r="M51" s="140" t="n"/>
      <c r="N51" s="140" t="n"/>
    </row>
    <row r="52" ht="12.75" customHeight="1" s="51">
      <c r="A52" s="68" t="inlineStr">
        <is>
          <t>Transport</t>
        </is>
      </c>
      <c r="C52" s="177">
        <f>ROUND(+C47/(1-C51)+(C49+C50),4)-C47</f>
        <v/>
      </c>
      <c r="E52" s="177">
        <f>ROUND(+E47/(1-E51)+(E49+E50),4)-E47</f>
        <v/>
      </c>
      <c r="F52" s="68" t="n"/>
      <c r="G52" s="177">
        <f>ROUND(+G47/(1-G51)+(G49+G50),4)-G47</f>
        <v/>
      </c>
      <c r="H52" s="140" t="n"/>
      <c r="I52" s="140" t="n"/>
      <c r="J52" s="140" t="n"/>
      <c r="K52" s="140" t="n"/>
      <c r="L52" s="140" t="n"/>
      <c r="M52" s="140" t="n"/>
      <c r="N52" s="140" t="n"/>
    </row>
    <row r="53" ht="12.75" customHeight="1" s="51">
      <c r="A53" s="68" t="inlineStr">
        <is>
          <t>Demand</t>
        </is>
      </c>
      <c r="C53" s="177" t="n">
        <v>0</v>
      </c>
      <c r="E53" s="177" t="n">
        <v>0.02</v>
      </c>
      <c r="F53" s="68" t="n"/>
      <c r="G53" s="177" t="n">
        <v>0.02</v>
      </c>
      <c r="H53" s="140" t="n"/>
      <c r="I53" s="140" t="n"/>
      <c r="J53" s="140" t="n"/>
      <c r="K53" s="140" t="n"/>
      <c r="L53" s="140" t="n"/>
      <c r="M53" s="140" t="n"/>
      <c r="N53" s="140" t="n"/>
    </row>
    <row r="54" ht="13.5" customHeight="1" s="51" thickBot="1">
      <c r="A54" s="68" t="inlineStr">
        <is>
          <t>Delivered Price</t>
        </is>
      </c>
      <c r="C54" s="184">
        <f>SUM(C52,C47:C48,C53)</f>
        <v/>
      </c>
      <c r="E54" s="184">
        <f>SUM(E52,E47:E48,E53)</f>
        <v/>
      </c>
      <c r="F54" s="68" t="n"/>
      <c r="G54" s="184">
        <f>SUM(G52,G47:G48,G53)</f>
        <v/>
      </c>
      <c r="H54" s="140" t="n"/>
      <c r="I54" s="140" t="n"/>
      <c r="J54" s="140" t="n"/>
      <c r="K54" s="140" t="n"/>
      <c r="L54" s="140" t="n"/>
      <c r="M54" s="140" t="n"/>
      <c r="N54" s="140" t="n"/>
    </row>
    <row r="55" ht="13.5" customHeight="1" s="51" thickTop="1">
      <c r="A55" s="68" t="inlineStr">
        <is>
          <t> </t>
        </is>
      </c>
      <c r="B55" s="68" t="inlineStr">
        <is>
          <t> </t>
        </is>
      </c>
      <c r="C55" s="182" t="n">
        <v>37170</v>
      </c>
      <c r="E55" s="182" t="n">
        <v>54450</v>
      </c>
      <c r="F55" s="68" t="n"/>
      <c r="G55" s="182" t="n">
        <v>118800</v>
      </c>
      <c r="H55" s="140" t="n"/>
      <c r="I55" s="140" t="n"/>
      <c r="J55" s="140" t="n"/>
      <c r="K55" s="140" t="n"/>
      <c r="L55" s="140" t="n"/>
      <c r="M55" s="140" t="n"/>
      <c r="N55" s="140" t="n"/>
    </row>
    <row r="56" ht="12.75" customHeight="1" s="51">
      <c r="A56" s="68" t="inlineStr">
        <is>
          <t>Comment:  CES has 1,239 dt/day of South to North Space.</t>
        </is>
      </c>
      <c r="C56" s="180" t="n"/>
      <c r="E56" s="68" t="n"/>
      <c r="F56" s="68" t="n"/>
      <c r="G56" s="68" t="n"/>
      <c r="H56" s="140" t="n"/>
      <c r="I56" s="140" t="n"/>
      <c r="J56" s="140" t="n"/>
      <c r="K56" s="140" t="n"/>
      <c r="L56" s="140" t="n"/>
      <c r="M56" s="140" t="n"/>
      <c r="N56" s="140" t="n"/>
    </row>
    <row r="57" ht="12.75" customHeight="1" s="51">
      <c r="A57" s="68" t="inlineStr">
        <is>
          <t>Deal # 228246 for North and tiered rate.  Deal # 228234 for South all at one rate.</t>
        </is>
      </c>
      <c r="C57" s="180" t="n"/>
      <c r="H57" s="140" t="n"/>
      <c r="I57" s="140" t="n"/>
      <c r="J57" s="140" t="n"/>
      <c r="K57" s="140" t="n"/>
      <c r="L57" s="140" t="n"/>
      <c r="M57" s="140" t="n"/>
      <c r="N57" s="140" t="n"/>
    </row>
    <row r="58" ht="12.75" customHeight="1" s="51">
      <c r="A58" s="68" t="inlineStr">
        <is>
          <t>Deal 204778 - Supplied with local production behind East Ohio Citygate - bill as South Citygate</t>
        </is>
      </c>
      <c r="C58" s="180" t="n"/>
      <c r="H58" s="140" t="n"/>
      <c r="I58" s="140" t="n"/>
      <c r="J58" s="140" t="n"/>
      <c r="K58" s="140" t="n"/>
      <c r="L58" s="140" t="n"/>
      <c r="M58" s="140" t="n"/>
      <c r="N58" s="140" t="n"/>
    </row>
    <row r="59" ht="12.75" customHeight="1" s="51">
      <c r="A59" s="68" t="inlineStr">
        <is>
          <t>Deal 204773 - Supplied with local production behind Peoples - bill as South Citygate</t>
        </is>
      </c>
      <c r="C59" s="180" t="n"/>
      <c r="H59" s="140" t="n"/>
      <c r="I59" s="140" t="n"/>
      <c r="J59" s="140" t="n"/>
      <c r="K59" s="140" t="n"/>
      <c r="L59" s="140" t="n"/>
      <c r="M59" s="140" t="n"/>
      <c r="N59" s="140" t="n"/>
    </row>
    <row r="60" ht="12.75" customHeight="1" s="51">
      <c r="C60" s="180" t="n"/>
      <c r="H60" s="140" t="n"/>
      <c r="I60" s="140" t="inlineStr">
        <is>
          <t> </t>
        </is>
      </c>
      <c r="J60" s="140" t="n"/>
      <c r="K60" s="140" t="n"/>
      <c r="L60" s="140" t="n"/>
      <c r="M60" s="140" t="n"/>
      <c r="N60" s="140" t="n"/>
    </row>
    <row r="61" ht="12.75" customHeight="1" s="51">
      <c r="A61" s="68" t="inlineStr">
        <is>
          <t> </t>
        </is>
      </c>
      <c r="C61" s="180" t="n"/>
      <c r="H61" s="140" t="n"/>
      <c r="I61" s="140" t="n"/>
      <c r="J61" s="140" t="n"/>
      <c r="K61" s="140" t="n"/>
      <c r="L61" s="140" t="n"/>
      <c r="M61" s="140" t="n"/>
      <c r="N61" s="140" t="n"/>
    </row>
    <row r="62" ht="12.75" customHeight="1" s="51">
      <c r="A62" s="68" t="inlineStr">
        <is>
          <t> </t>
        </is>
      </c>
      <c r="B62" s="68" t="inlineStr">
        <is>
          <t> </t>
        </is>
      </c>
      <c r="C62" s="180" t="n"/>
      <c r="H62" s="140" t="n"/>
      <c r="I62" s="140" t="n"/>
      <c r="J62" s="140" t="n"/>
      <c r="K62" s="140" t="n"/>
      <c r="L62" s="140" t="n"/>
      <c r="M62" s="140" t="n"/>
      <c r="N62" s="140" t="n"/>
    </row>
    <row r="63" ht="12.75" customHeight="1" s="51">
      <c r="A63" s="68" t="inlineStr">
        <is>
          <t> </t>
        </is>
      </c>
      <c r="B63" s="68" t="inlineStr">
        <is>
          <t> </t>
        </is>
      </c>
      <c r="C63" s="180" t="n"/>
      <c r="H63" s="140" t="n"/>
      <c r="I63" s="140" t="n"/>
      <c r="J63" s="140" t="n"/>
      <c r="K63" s="140" t="n"/>
      <c r="L63" s="140" t="n"/>
      <c r="M63" s="140" t="n"/>
      <c r="N63" s="140" t="n"/>
    </row>
    <row r="64" ht="12.75" customHeight="1" s="51">
      <c r="C64" s="180" t="n"/>
      <c r="H64" s="140" t="n"/>
      <c r="I64" s="140" t="n"/>
      <c r="J64" s="140" t="n"/>
      <c r="K64" s="140" t="n"/>
      <c r="L64" s="140" t="n"/>
      <c r="M64" s="140" t="n"/>
      <c r="N64" s="140" t="n"/>
    </row>
    <row r="65" ht="12.75" customHeight="1" s="51">
      <c r="C65" s="180" t="n"/>
      <c r="H65" s="140" t="n"/>
      <c r="I65" s="140" t="n"/>
      <c r="J65" s="140" t="n"/>
      <c r="K65" s="140" t="n"/>
      <c r="L65" s="140" t="n"/>
      <c r="M65" s="140" t="n"/>
      <c r="N65" s="140" t="n"/>
    </row>
    <row r="66" ht="12.75" customHeight="1" s="51">
      <c r="C66" s="180" t="n"/>
      <c r="H66" s="140" t="n"/>
      <c r="I66" s="140" t="n"/>
      <c r="J66" s="140" t="n"/>
      <c r="K66" s="140" t="n"/>
      <c r="L66" s="140" t="n"/>
      <c r="M66" s="140" t="n"/>
      <c r="N66" s="140" t="n"/>
    </row>
    <row r="67" ht="12.75" customHeight="1" s="51">
      <c r="C67" s="180" t="n"/>
      <c r="H67" s="140" t="n"/>
      <c r="I67" s="140" t="n"/>
      <c r="J67" s="140" t="n"/>
      <c r="K67" s="140" t="n"/>
      <c r="L67" s="140" t="n"/>
      <c r="M67" s="140" t="n"/>
      <c r="N67" s="140" t="n"/>
    </row>
    <row r="68" ht="12.75" customHeight="1" s="51">
      <c r="A68" s="67" t="inlineStr">
        <is>
          <t>East Tennessee</t>
        </is>
      </c>
      <c r="C68" s="139" t="inlineStr">
        <is>
          <t>[Person_3]</t>
        </is>
      </c>
      <c r="E68" s="139" t="inlineStr">
        <is>
          <t xml:space="preserve">E Tenn </t>
        </is>
      </c>
      <c r="G68" s="140" t="n"/>
      <c r="H68" s="140" t="n"/>
      <c r="I68" s="140" t="n"/>
      <c r="J68" s="140" t="n"/>
      <c r="K68" s="140" t="n"/>
      <c r="L68" s="140" t="n"/>
      <c r="M68" s="140" t="n"/>
      <c r="N68" s="140" t="n"/>
    </row>
    <row r="69" ht="12.75" customHeight="1" s="51">
      <c r="A69" s="68" t="inlineStr">
        <is>
          <t>Index</t>
        </is>
      </c>
      <c r="B69" s="68" t="inlineStr">
        <is>
          <t>LA</t>
        </is>
      </c>
      <c r="C69" s="176" t="n">
        <v>4.29</v>
      </c>
      <c r="E69" s="176">
        <f>+C75</f>
        <v/>
      </c>
      <c r="G69" s="140" t="n"/>
      <c r="H69" s="140" t="n"/>
      <c r="I69" s="140" t="n"/>
      <c r="J69" s="140" t="n"/>
      <c r="K69" s="140" t="n"/>
      <c r="L69" s="140" t="n"/>
      <c r="M69" s="140" t="n"/>
      <c r="N69" s="140" t="n"/>
    </row>
    <row r="70" ht="12.75" customHeight="1" s="51">
      <c r="A70" s="68" t="inlineStr">
        <is>
          <t>Index [Person_1]</t>
        </is>
      </c>
      <c r="C70" s="176" t="n">
        <v>0.01</v>
      </c>
      <c r="E70" s="176" t="n">
        <v>0</v>
      </c>
      <c r="G70" s="140" t="n"/>
      <c r="H70" s="140" t="n"/>
      <c r="I70" s="140" t="n"/>
      <c r="J70" s="140" t="n"/>
      <c r="K70" s="140" t="n"/>
      <c r="L70" s="140" t="n"/>
      <c r="M70" s="140" t="n"/>
      <c r="N70" s="140" t="n"/>
    </row>
    <row r="71" ht="12.75" customHeight="1" s="51">
      <c r="A71" s="68" t="inlineStr">
        <is>
          <t>Comm</t>
        </is>
      </c>
      <c r="C71" s="176" t="n">
        <v>0.0572</v>
      </c>
      <c r="E71" s="176" t="n">
        <v>0.0011</v>
      </c>
      <c r="G71" s="140" t="n"/>
      <c r="H71" s="140" t="n"/>
      <c r="I71" s="140" t="n"/>
      <c r="J71" s="140" t="n"/>
      <c r="K71" s="140" t="n"/>
      <c r="L71" s="140" t="n"/>
      <c r="M71" s="140" t="n"/>
      <c r="N71" s="140" t="n"/>
    </row>
    <row r="72" ht="12.75" customHeight="1" s="51">
      <c r="A72" s="68" t="inlineStr">
        <is>
          <t>Surcharges</t>
        </is>
      </c>
      <c r="C72" s="176" t="n">
        <v>0.0319</v>
      </c>
      <c r="E72" s="176" t="n">
        <v>0.0094</v>
      </c>
      <c r="F72" s="68" t="inlineStr">
        <is>
          <t>Note:  [Person_3] surcharge of $.0225 does not apply</t>
        </is>
      </c>
      <c r="G72" s="140" t="n"/>
      <c r="H72" s="140" t="n"/>
      <c r="I72" s="140" t="n"/>
      <c r="J72" s="140" t="n"/>
      <c r="K72" s="140" t="n"/>
      <c r="L72" s="140" t="n"/>
      <c r="M72" s="140" t="n"/>
      <c r="N72" s="140" t="n"/>
    </row>
    <row r="73" ht="12.75" customHeight="1" s="51">
      <c r="A73" s="68" t="inlineStr">
        <is>
          <t>Fuel</t>
        </is>
      </c>
      <c r="C73" s="144" t="n">
        <v>0.017</v>
      </c>
      <c r="E73" s="144" t="n">
        <v>0.022</v>
      </c>
      <c r="G73" s="140" t="n"/>
      <c r="H73" s="140" t="n"/>
      <c r="I73" s="140" t="n"/>
      <c r="J73" s="140" t="n"/>
      <c r="K73" s="140" t="n"/>
      <c r="L73" s="140" t="n"/>
      <c r="M73" s="140" t="n"/>
      <c r="N73" s="140" t="n"/>
    </row>
    <row r="74" ht="12.75" customHeight="1" s="51">
      <c r="A74" s="68" t="inlineStr">
        <is>
          <t>Transport</t>
        </is>
      </c>
      <c r="C74" s="177">
        <f>ROUND((+C69+C70)/(1-C73)-(C69+C70)+C71+C72,4)</f>
        <v/>
      </c>
      <c r="E74" s="177">
        <f>ROUND((+E69+E70)/(1-E73)-(E69+E70)+E71+E72,4)</f>
        <v/>
      </c>
      <c r="G74" s="140" t="n"/>
      <c r="H74" s="140" t="n"/>
      <c r="I74" s="140" t="n"/>
      <c r="J74" s="140" t="n"/>
      <c r="K74" s="140" t="n"/>
      <c r="L74" s="140" t="n"/>
      <c r="M74" s="140" t="n"/>
      <c r="N74" s="140" t="n"/>
    </row>
    <row r="75" ht="13.5" customHeight="1" s="51" thickBot="1">
      <c r="A75" s="68" t="inlineStr">
        <is>
          <t>Delivered Price</t>
        </is>
      </c>
      <c r="C75" s="178">
        <f>SUM(C74,C69:C70)</f>
        <v/>
      </c>
      <c r="E75" s="178">
        <f>SUM(E74,E69:E70)</f>
        <v/>
      </c>
      <c r="F75" s="68" t="inlineStr">
        <is>
          <t>Deal 231743</t>
        </is>
      </c>
      <c r="G75" s="140" t="n"/>
      <c r="H75" s="140" t="n"/>
      <c r="I75" s="140" t="n"/>
      <c r="J75" s="140" t="n"/>
      <c r="K75" s="140" t="n"/>
      <c r="L75" s="140" t="n"/>
      <c r="M75" s="140" t="n"/>
      <c r="N75" s="140" t="n"/>
    </row>
    <row r="76" ht="13.5" customHeight="1" s="51" thickTop="1">
      <c r="G76" s="140" t="n"/>
      <c r="H76" s="140" t="n"/>
      <c r="I76" s="140" t="n"/>
      <c r="J76" s="140" t="n"/>
      <c r="K76" s="140" t="n"/>
      <c r="L76" s="140" t="n"/>
      <c r="M76" s="140" t="n"/>
      <c r="N76" s="140" t="n"/>
    </row>
    <row r="77" ht="12.75" customHeight="1" s="51">
      <c r="A77" s="140" t="n"/>
      <c r="B77" s="140" t="n"/>
      <c r="C77" s="140" t="n"/>
      <c r="D77" s="140" t="n"/>
      <c r="E77" s="140" t="n"/>
      <c r="F77" s="140" t="n"/>
      <c r="G77" s="140" t="n"/>
      <c r="H77" s="140" t="n"/>
      <c r="I77" s="140" t="n"/>
      <c r="J77" s="140" t="n"/>
      <c r="K77" s="140" t="n"/>
      <c r="L77" s="140" t="n"/>
      <c r="M77" s="140" t="n"/>
      <c r="N77" s="140" t="n"/>
    </row>
    <row r="78" ht="12.75" customHeight="1" s="51">
      <c r="A78" s="140" t="n"/>
      <c r="B78" s="140" t="n"/>
      <c r="C78" s="140" t="n"/>
      <c r="D78" s="140" t="n"/>
      <c r="E78" s="140" t="n"/>
      <c r="F78" s="140" t="n"/>
      <c r="G78" s="140" t="n"/>
      <c r="H78" s="140" t="n"/>
      <c r="I78" s="140" t="n"/>
      <c r="J78" s="140" t="n"/>
      <c r="K78" s="140" t="n"/>
      <c r="L78" s="140" t="n"/>
      <c r="M78" s="140" t="n"/>
      <c r="N78" s="140" t="n"/>
    </row>
    <row r="79" ht="12.75" customHeight="1" s="51">
      <c r="A79" s="140" t="n"/>
      <c r="B79" s="140" t="n"/>
      <c r="C79" s="140" t="n"/>
      <c r="D79" s="140" t="n"/>
      <c r="E79" s="140" t="n"/>
      <c r="F79" s="140" t="n"/>
      <c r="G79" s="140" t="n"/>
      <c r="H79" s="140" t="n"/>
      <c r="I79" s="140" t="n"/>
      <c r="J79" s="140" t="n"/>
      <c r="K79" s="140" t="n"/>
      <c r="L79" s="140" t="n"/>
      <c r="M79" s="140" t="n"/>
      <c r="N79" s="140" t="n"/>
    </row>
    <row r="80" ht="12.75" customHeight="1" s="51">
      <c r="A80" s="67" t="inlineStr">
        <is>
          <t>Equitrans</t>
        </is>
      </c>
      <c r="C80" s="139" t="inlineStr">
        <is>
          <t>FTS</t>
        </is>
      </c>
      <c r="E80" s="139" t="inlineStr">
        <is>
          <t>IT</t>
        </is>
      </c>
      <c r="G80" s="140" t="n"/>
      <c r="H80" s="140" t="n"/>
      <c r="I80" s="140" t="n"/>
      <c r="J80" s="140" t="n"/>
      <c r="K80" s="140" t="n"/>
      <c r="L80" s="140" t="n"/>
      <c r="M80" s="140" t="n"/>
      <c r="N80" s="140" t="n"/>
    </row>
    <row r="81" ht="12.75" customHeight="1" s="51">
      <c r="A81" s="68" t="inlineStr">
        <is>
          <t>Index</t>
        </is>
      </c>
      <c r="B81" s="68" t="inlineStr">
        <is>
          <t>CNG</t>
        </is>
      </c>
      <c r="C81" s="176" t="n">
        <v>4.56</v>
      </c>
      <c r="E81" s="180" t="n">
        <v>4.56</v>
      </c>
      <c r="G81" s="140" t="n"/>
      <c r="H81" s="140" t="n"/>
      <c r="I81" s="140" t="n"/>
      <c r="J81" s="140" t="n"/>
      <c r="K81" s="140" t="n"/>
      <c r="L81" s="140" t="n"/>
      <c r="M81" s="140" t="n"/>
      <c r="N81" s="140" t="n"/>
    </row>
    <row r="82" ht="12.75" customHeight="1" s="51">
      <c r="A82" s="68" t="inlineStr">
        <is>
          <t>Index [Person_1]</t>
        </is>
      </c>
      <c r="C82" s="176" t="n">
        <v>0.0275</v>
      </c>
      <c r="E82" s="180" t="n">
        <v>0.0275</v>
      </c>
      <c r="G82" s="140" t="n"/>
      <c r="H82" s="140" t="n"/>
      <c r="I82" s="140" t="n"/>
      <c r="J82" s="140" t="n"/>
      <c r="K82" s="140" t="n"/>
      <c r="L82" s="140" t="n"/>
      <c r="M82" s="140" t="n"/>
      <c r="N82" s="140" t="n"/>
    </row>
    <row r="83" ht="12.75" customHeight="1" s="51">
      <c r="A83" s="68" t="inlineStr">
        <is>
          <t>Comm</t>
        </is>
      </c>
      <c r="C83" s="176" t="n">
        <v>0.0092</v>
      </c>
      <c r="E83" s="176" t="n">
        <v>0.2127</v>
      </c>
      <c r="G83" s="140" t="n"/>
      <c r="H83" s="140" t="n"/>
      <c r="I83" s="140" t="n"/>
      <c r="J83" s="140" t="n"/>
      <c r="K83" s="140" t="n"/>
      <c r="L83" s="140" t="n"/>
      <c r="M83" s="140" t="n"/>
      <c r="N83" s="140" t="n"/>
    </row>
    <row r="84" ht="12.75" customHeight="1" s="51">
      <c r="A84" s="68" t="inlineStr">
        <is>
          <t>Surcharges</t>
        </is>
      </c>
      <c r="C84" s="176" t="n">
        <v>0.0094</v>
      </c>
      <c r="E84" s="176" t="n">
        <v>0.0094</v>
      </c>
      <c r="F84" s="140" t="n"/>
      <c r="G84" s="140" t="n"/>
      <c r="H84" s="140" t="n"/>
      <c r="I84" s="140" t="n"/>
      <c r="J84" s="140" t="n"/>
      <c r="K84" s="140" t="n"/>
      <c r="L84" s="140" t="n"/>
      <c r="M84" s="140" t="n"/>
      <c r="N84" s="140" t="n"/>
    </row>
    <row r="85" ht="12.75" customHeight="1" s="51">
      <c r="A85" s="68" t="inlineStr">
        <is>
          <t>Fuel</t>
        </is>
      </c>
      <c r="C85" s="144" t="n">
        <v>0.03</v>
      </c>
      <c r="E85" s="144" t="n">
        <v>0.03</v>
      </c>
      <c r="F85" s="140" t="n"/>
      <c r="G85" s="140" t="n"/>
      <c r="H85" s="140" t="n"/>
      <c r="I85" s="140" t="n"/>
      <c r="J85" s="140" t="n"/>
      <c r="K85" s="140" t="n"/>
      <c r="L85" s="140" t="n"/>
      <c r="M85" s="140" t="n"/>
      <c r="N85" s="140" t="n"/>
    </row>
    <row r="86" ht="12.75" customHeight="1" s="51">
      <c r="A86" s="68" t="inlineStr">
        <is>
          <t>Transport</t>
        </is>
      </c>
      <c r="C86" s="177">
        <f>ROUND((+C81+C82)/(1-C85)-(C81+C82)+C83+C84,4)</f>
        <v/>
      </c>
      <c r="E86" s="177">
        <f>ROUND((+E81+E82)/(1-E85)-(E81+E82)+E83+E84,4)</f>
        <v/>
      </c>
      <c r="F86" s="140" t="n"/>
      <c r="G86" s="140" t="n"/>
      <c r="H86" s="140" t="n"/>
      <c r="I86" s="140" t="n"/>
      <c r="J86" s="140" t="n"/>
      <c r="K86" s="140" t="n"/>
      <c r="L86" s="140" t="n"/>
      <c r="M86" s="140" t="n"/>
      <c r="N86" s="140" t="n"/>
    </row>
    <row r="87" ht="13.5" customHeight="1" s="51" thickBot="1">
      <c r="A87" s="68" t="inlineStr">
        <is>
          <t>Delivered Price</t>
        </is>
      </c>
      <c r="C87" s="178">
        <f>SUM(C86,C81:C82)</f>
        <v/>
      </c>
      <c r="E87" s="185">
        <f>SUM(E86,E81:E82)</f>
        <v/>
      </c>
      <c r="F87" s="140" t="n"/>
      <c r="G87" s="140" t="n"/>
      <c r="H87" s="140" t="n"/>
      <c r="I87" s="140" t="n"/>
      <c r="J87" s="140" t="n"/>
      <c r="K87" s="140" t="n"/>
      <c r="L87" s="140" t="n"/>
      <c r="M87" s="140" t="n"/>
      <c r="N87" s="140" t="n"/>
    </row>
    <row r="88" ht="13.5" customHeight="1" s="51" thickTop="1">
      <c r="F88" s="140" t="n"/>
      <c r="G88" s="140" t="n"/>
      <c r="H88" s="140" t="n"/>
      <c r="I88" s="140" t="n"/>
      <c r="J88" s="140" t="n"/>
      <c r="K88" s="140" t="n"/>
      <c r="L88" s="140" t="n"/>
      <c r="M88" s="140" t="n"/>
      <c r="N88" s="140" t="n"/>
    </row>
    <row r="89" ht="12.75" customHeight="1" s="51">
      <c r="A89" s="68" t="inlineStr">
        <is>
          <t>Deal 229988  CES has 1,000 dth of FTS, price 1,000 day at the FTS rate, balance at the IT rate.</t>
        </is>
      </c>
      <c r="F89" s="140" t="n"/>
      <c r="G89" s="140" t="n"/>
      <c r="H89" s="140" t="n"/>
      <c r="I89" s="140" t="n"/>
      <c r="J89" s="140" t="n"/>
      <c r="K89" s="140" t="n"/>
      <c r="L89" s="140" t="n"/>
      <c r="M89" s="140" t="n"/>
      <c r="N89" s="140" t="n"/>
    </row>
    <row r="90" ht="12.75" customHeight="1" s="51">
      <c r="A90" s="140" t="n"/>
      <c r="B90" s="140" t="n"/>
      <c r="C90" s="140" t="n"/>
      <c r="D90" s="140" t="n"/>
      <c r="E90" s="140" t="n"/>
      <c r="F90" s="140" t="n"/>
      <c r="G90" s="140" t="n"/>
      <c r="H90" s="140" t="n"/>
      <c r="I90" s="140" t="n"/>
      <c r="J90" s="140" t="n"/>
      <c r="K90" s="140" t="n"/>
      <c r="L90" s="140" t="n"/>
      <c r="M90" s="140" t="n"/>
      <c r="N90" s="140" t="n"/>
    </row>
    <row r="91" ht="12.75" customHeight="1" s="51">
      <c r="A91" s="140" t="n"/>
      <c r="B91" s="140" t="n"/>
      <c r="C91" s="140" t="n"/>
      <c r="D91" s="140" t="n"/>
      <c r="E91" s="140" t="n"/>
      <c r="F91" s="140" t="n"/>
      <c r="G91" s="140" t="n"/>
      <c r="H91" s="140" t="n"/>
      <c r="I91" s="140" t="n"/>
      <c r="J91" s="140" t="n"/>
      <c r="K91" s="140" t="n"/>
      <c r="L91" s="140" t="n"/>
      <c r="M91" s="140" t="n"/>
      <c r="N91" s="140" t="n"/>
    </row>
    <row r="92" ht="12.75" customHeight="1" s="51">
      <c r="A92" s="67" t="inlineStr">
        <is>
          <t>[Person_4]</t>
        </is>
      </c>
      <c r="F92" s="140" t="n"/>
      <c r="G92" s="140" t="n"/>
      <c r="H92" s="140" t="n"/>
      <c r="I92" s="140" t="n"/>
      <c r="J92" s="140" t="n"/>
      <c r="K92" s="140" t="n"/>
      <c r="L92" s="140" t="n"/>
      <c r="M92" s="140" t="n"/>
      <c r="N92" s="140" t="n"/>
    </row>
    <row r="93" ht="12.75" customHeight="1" s="51">
      <c r="A93" s="68" t="inlineStr">
        <is>
          <t>Index</t>
        </is>
      </c>
      <c r="B93" s="68" t="inlineStr">
        <is>
          <t>Z1</t>
        </is>
      </c>
      <c r="C93" s="176" t="n">
        <v>4.29</v>
      </c>
      <c r="F93" s="140" t="n"/>
      <c r="G93" s="140" t="n"/>
      <c r="H93" s="140" t="n"/>
      <c r="I93" s="140" t="n"/>
      <c r="J93" s="140" t="n"/>
      <c r="K93" s="140" t="n"/>
      <c r="L93" s="140" t="n"/>
      <c r="M93" s="140" t="n"/>
      <c r="N93" s="140" t="n"/>
    </row>
    <row r="94" ht="12.75" customHeight="1" s="51">
      <c r="A94" s="68" t="inlineStr">
        <is>
          <t>Index [Person_1]</t>
        </is>
      </c>
      <c r="C94" s="176" t="n">
        <v>0.01</v>
      </c>
      <c r="F94" s="140" t="n"/>
      <c r="G94" s="140" t="n"/>
      <c r="H94" s="140" t="n"/>
      <c r="I94" s="140" t="n"/>
      <c r="J94" s="140" t="n"/>
      <c r="K94" s="140" t="n"/>
      <c r="L94" s="140" t="n"/>
      <c r="M94" s="140" t="n"/>
      <c r="N94" s="140" t="n"/>
    </row>
    <row r="95" ht="12.75" customHeight="1" s="51">
      <c r="A95" s="68" t="inlineStr">
        <is>
          <t>Comm</t>
        </is>
      </c>
      <c r="C95" s="176" t="n">
        <v>0.1126</v>
      </c>
      <c r="F95" s="140" t="n"/>
      <c r="G95" s="140" t="n"/>
      <c r="H95" s="140" t="n"/>
      <c r="I95" s="140" t="n"/>
      <c r="J95" s="140" t="n"/>
      <c r="K95" s="140" t="n"/>
      <c r="L95" s="140" t="n"/>
      <c r="M95" s="140" t="n"/>
      <c r="N95" s="140" t="n"/>
    </row>
    <row r="96" ht="12.75" customHeight="1" s="51">
      <c r="A96" s="68" t="inlineStr">
        <is>
          <t>Surcharges</t>
        </is>
      </c>
      <c r="C96" s="176" t="n">
        <v>0.0094</v>
      </c>
      <c r="F96" s="140" t="n"/>
      <c r="G96" s="140" t="n"/>
      <c r="H96" s="140" t="n"/>
      <c r="I96" s="140" t="n"/>
      <c r="J96" s="140" t="n"/>
      <c r="K96" s="140" t="n"/>
      <c r="L96" s="140" t="n"/>
      <c r="M96" s="140" t="n"/>
      <c r="N96" s="140" t="n"/>
    </row>
    <row r="97" ht="12.75" customHeight="1" s="51">
      <c r="A97" s="68" t="inlineStr">
        <is>
          <t>Fuel</t>
        </is>
      </c>
      <c r="C97" s="144" t="n">
        <v>0.0597</v>
      </c>
      <c r="F97" s="140" t="n"/>
      <c r="G97" s="140" t="n"/>
      <c r="H97" s="140" t="n"/>
      <c r="I97" s="140" t="n"/>
      <c r="J97" s="140" t="n"/>
      <c r="K97" s="140" t="n"/>
      <c r="L97" s="140" t="n"/>
      <c r="M97" s="140" t="n"/>
      <c r="N97" s="140" t="n"/>
    </row>
    <row r="98" ht="12.75" customHeight="1" s="51">
      <c r="A98" s="68" t="inlineStr">
        <is>
          <t>Transport</t>
        </is>
      </c>
      <c r="C98" s="177">
        <f>ROUND((+C93+C94)/(1-C97)-(C93+C94)+C95+C96,4)</f>
        <v/>
      </c>
      <c r="F98" s="140" t="n"/>
      <c r="G98" s="140" t="n"/>
      <c r="H98" s="140" t="n"/>
      <c r="I98" s="140" t="n"/>
      <c r="J98" s="140" t="n"/>
      <c r="K98" s="140" t="n"/>
      <c r="L98" s="140" t="n"/>
      <c r="M98" s="140" t="n"/>
      <c r="N98" s="140" t="n"/>
    </row>
    <row r="99" ht="13.5" customHeight="1" s="51" thickBot="1">
      <c r="C99" s="178">
        <f>SUM(C98,C93:C94)</f>
        <v/>
      </c>
      <c r="D99" s="68" t="inlineStr">
        <is>
          <t>Deal 229573, 234424</t>
        </is>
      </c>
      <c r="F99" s="140" t="n"/>
      <c r="G99" s="140" t="n"/>
      <c r="H99" s="140" t="n"/>
      <c r="I99" s="140" t="n"/>
      <c r="J99" s="140" t="n"/>
      <c r="K99" s="140" t="n"/>
      <c r="L99" s="140" t="n"/>
      <c r="M99" s="140" t="n"/>
      <c r="N99" s="140" t="n"/>
    </row>
    <row r="100" ht="13.5" customHeight="1" s="51" thickTop="1">
      <c r="E100" s="140" t="n"/>
      <c r="F100" s="140" t="n"/>
      <c r="G100" s="140" t="n"/>
      <c r="H100" s="140" t="n"/>
      <c r="I100" s="140" t="n"/>
      <c r="J100" s="140" t="n"/>
      <c r="K100" s="140" t="n"/>
      <c r="L100" s="140" t="n"/>
      <c r="M100" s="140" t="n"/>
      <c r="N100" s="140" t="n"/>
    </row>
    <row r="101" ht="12.75" customHeight="1" s="51">
      <c r="A101" s="140" t="n"/>
      <c r="B101" s="140" t="n"/>
      <c r="C101" s="140" t="n"/>
      <c r="D101" s="140" t="n"/>
      <c r="E101" s="140" t="n"/>
      <c r="F101" s="140" t="n"/>
      <c r="G101" s="140" t="n"/>
      <c r="H101" s="140" t="n"/>
      <c r="I101" s="140" t="n"/>
      <c r="J101" s="140" t="n"/>
      <c r="K101" s="140" t="n"/>
      <c r="L101" s="140" t="n"/>
      <c r="M101" s="140" t="n"/>
      <c r="N101" s="140" t="n"/>
    </row>
    <row r="102" ht="12.75" customHeight="1" s="51">
      <c r="A102" s="67" t="inlineStr">
        <is>
          <t>Texas Eastern M3</t>
        </is>
      </c>
      <c r="E102" s="140" t="n"/>
      <c r="F102" s="140" t="n"/>
      <c r="G102" s="140" t="n"/>
      <c r="H102" s="140" t="n"/>
      <c r="I102" s="140" t="n"/>
      <c r="J102" s="140" t="n"/>
      <c r="K102" s="140" t="n"/>
      <c r="L102" s="140" t="n"/>
      <c r="M102" s="140" t="n"/>
      <c r="N102" s="140" t="n"/>
    </row>
    <row r="103" ht="12.75" customHeight="1" s="51">
      <c r="A103" s="68" t="inlineStr">
        <is>
          <t>Index</t>
        </is>
      </c>
      <c r="B103" s="68" t="inlineStr">
        <is>
          <t>Ela</t>
        </is>
      </c>
      <c r="C103" s="176" t="n">
        <v>4.3</v>
      </c>
      <c r="E103" s="140" t="n"/>
      <c r="F103" s="140" t="n"/>
      <c r="G103" s="140" t="n"/>
      <c r="H103" s="140" t="n"/>
      <c r="I103" s="140" t="n"/>
      <c r="J103" s="140" t="n"/>
      <c r="K103" s="140" t="n"/>
      <c r="L103" s="140" t="n"/>
      <c r="M103" s="140" t="n"/>
      <c r="N103" s="140" t="n"/>
    </row>
    <row r="104" ht="12.75" customHeight="1" s="51">
      <c r="A104" s="68" t="inlineStr">
        <is>
          <t>Index [Person_1]</t>
        </is>
      </c>
      <c r="C104" s="176" t="n">
        <v>0.01</v>
      </c>
      <c r="E104" s="140" t="n"/>
      <c r="F104" s="140" t="n"/>
      <c r="G104" s="140" t="n"/>
      <c r="H104" s="140" t="n"/>
      <c r="I104" s="140" t="n"/>
      <c r="J104" s="140" t="n"/>
      <c r="K104" s="140" t="n"/>
      <c r="L104" s="140" t="n"/>
      <c r="M104" s="140" t="n"/>
      <c r="N104" s="140" t="n"/>
    </row>
    <row r="105" ht="12.75" customHeight="1" s="51">
      <c r="A105" s="68" t="inlineStr">
        <is>
          <t>Comm</t>
        </is>
      </c>
      <c r="C105" s="176" t="n">
        <v>0.1012</v>
      </c>
      <c r="E105" s="140" t="n"/>
      <c r="F105" s="140" t="n"/>
      <c r="G105" s="140" t="n"/>
      <c r="H105" s="140" t="n"/>
      <c r="I105" s="140" t="n"/>
      <c r="J105" s="140" t="n"/>
      <c r="K105" s="140" t="n"/>
      <c r="L105" s="140" t="n"/>
      <c r="M105" s="140" t="n"/>
      <c r="N105" s="140" t="n"/>
    </row>
    <row r="106" ht="12.75" customHeight="1" s="51">
      <c r="A106" s="68" t="inlineStr">
        <is>
          <t>Surcharges</t>
        </is>
      </c>
      <c r="C106" s="176" t="n">
        <v>0.0094</v>
      </c>
      <c r="E106" s="140" t="n"/>
      <c r="F106" s="140" t="n"/>
      <c r="G106" s="140" t="n"/>
      <c r="H106" s="140" t="n"/>
      <c r="I106" s="140" t="n"/>
      <c r="J106" s="140" t="n"/>
      <c r="K106" s="140" t="n"/>
      <c r="L106" s="140" t="n"/>
      <c r="M106" s="140" t="n"/>
      <c r="N106" s="140" t="n"/>
    </row>
    <row r="107" ht="12.75" customHeight="1" s="51">
      <c r="A107" s="68" t="inlineStr">
        <is>
          <t>Fuel</t>
        </is>
      </c>
      <c r="C107" s="144" t="n">
        <v>0.07049999999999999</v>
      </c>
      <c r="E107" s="140" t="n"/>
      <c r="F107" s="140" t="n"/>
      <c r="G107" s="140" t="n"/>
      <c r="H107" s="140" t="n"/>
      <c r="I107" s="140" t="n"/>
      <c r="J107" s="140" t="n"/>
      <c r="K107" s="140" t="n"/>
      <c r="L107" s="140" t="n"/>
      <c r="M107" s="140" t="n"/>
      <c r="N107" s="140" t="n"/>
    </row>
    <row r="108" ht="12.75" customHeight="1" s="51">
      <c r="A108" s="68" t="inlineStr">
        <is>
          <t>Transport</t>
        </is>
      </c>
      <c r="C108" s="177">
        <f>ROUND((+C103+C104)/(1-C107)-(C103+C104)+C105+C106,4)</f>
        <v/>
      </c>
      <c r="D108" s="68" t="inlineStr">
        <is>
          <t>Deal 228296 ENA will bill CES 895 dth/day at Ela + $.01 + transport</t>
        </is>
      </c>
      <c r="E108" s="140" t="n"/>
      <c r="F108" s="140" t="n"/>
      <c r="G108" s="140" t="n"/>
      <c r="H108" s="140" t="n"/>
      <c r="I108" s="140" t="n"/>
      <c r="J108" s="140" t="n"/>
      <c r="K108" s="140" t="n"/>
      <c r="L108" s="140" t="n"/>
      <c r="M108" s="140" t="n"/>
      <c r="N108" s="140" t="n"/>
    </row>
    <row r="109" ht="13.5" customHeight="1" s="51" thickBot="1">
      <c r="C109" s="178">
        <f>SUM(C108,C103:C104)</f>
        <v/>
      </c>
      <c r="D109" s="68" t="inlineStr">
        <is>
          <t>The balance of the volumes on this deal will be billed Tetco M3 IF + $.01</t>
        </is>
      </c>
      <c r="E109" s="140" t="n"/>
      <c r="F109" s="140" t="n"/>
      <c r="G109" s="140" t="n"/>
      <c r="H109" s="140" t="n"/>
      <c r="I109" s="140" t="n"/>
      <c r="J109" s="140" t="n"/>
      <c r="K109" s="140" t="n"/>
      <c r="L109" s="140" t="n"/>
      <c r="M109" s="140" t="n"/>
      <c r="N109" s="140" t="n"/>
    </row>
    <row r="110" ht="13.5" customHeight="1" s="51" thickTop="1">
      <c r="E110" s="140" t="n"/>
      <c r="F110" s="140" t="n"/>
      <c r="G110" s="140" t="n"/>
      <c r="H110" s="140" t="n"/>
      <c r="I110" s="140" t="n"/>
      <c r="J110" s="140" t="n"/>
      <c r="K110" s="140" t="n"/>
      <c r="L110" s="140" t="n"/>
      <c r="M110" s="140" t="n"/>
      <c r="N110" s="140" t="n"/>
    </row>
    <row r="111" ht="12.75" customHeight="1" s="51">
      <c r="A111" s="68" t="inlineStr">
        <is>
          <t>CES has 895 dt of Access to M3 space.</t>
        </is>
      </c>
      <c r="E111" s="140" t="n"/>
      <c r="F111" s="140" t="n"/>
      <c r="G111" s="140" t="n"/>
      <c r="H111" s="140" t="n"/>
      <c r="I111" s="140" t="n"/>
      <c r="J111" s="140" t="n"/>
      <c r="K111" s="140" t="n"/>
      <c r="L111" s="140" t="n"/>
      <c r="M111" s="140" t="n"/>
      <c r="N111" s="140" t="n"/>
    </row>
    <row r="112" ht="12.75" customHeight="1" s="51">
      <c r="A112" s="140" t="n"/>
      <c r="B112" s="140" t="n"/>
      <c r="C112" s="140" t="n"/>
      <c r="D112" s="140" t="n"/>
      <c r="E112" s="140" t="n"/>
      <c r="F112" s="140" t="n"/>
      <c r="G112" s="140" t="n"/>
      <c r="H112" s="140" t="n"/>
      <c r="I112" s="140" t="n"/>
      <c r="J112" s="140" t="n"/>
      <c r="K112" s="140" t="n"/>
      <c r="L112" s="140" t="n"/>
      <c r="M112" s="140" t="n"/>
      <c r="N112" s="140" t="n"/>
    </row>
    <row r="113" ht="12.75" customHeight="1" s="51">
      <c r="A113" s="140" t="n"/>
      <c r="B113" s="140" t="n"/>
      <c r="C113" s="140" t="n"/>
      <c r="D113" s="140" t="n"/>
      <c r="E113" s="140" t="n"/>
      <c r="F113" s="140" t="n"/>
      <c r="G113" s="140" t="n"/>
      <c r="H113" s="140" t="n"/>
      <c r="I113" s="140" t="n"/>
      <c r="J113" s="140" t="n"/>
      <c r="K113" s="140" t="n"/>
      <c r="L113" s="140" t="n"/>
      <c r="M113" s="140" t="n"/>
      <c r="N113" s="140" t="n"/>
    </row>
    <row r="114" ht="12.75" customHeight="1" s="51">
      <c r="A114" s="140" t="n"/>
      <c r="B114" s="140" t="n"/>
      <c r="C114" s="140" t="n"/>
      <c r="D114" s="140" t="n"/>
      <c r="E114" s="140" t="n"/>
      <c r="F114" s="140" t="n"/>
      <c r="G114" s="140" t="n"/>
      <c r="H114" s="140" t="n"/>
      <c r="I114" s="140" t="n"/>
      <c r="J114" s="140" t="n"/>
      <c r="K114" s="140" t="n"/>
      <c r="L114" s="140" t="n"/>
      <c r="M114" s="140" t="n"/>
      <c r="N114" s="140" t="n"/>
    </row>
    <row r="115" ht="12.75" customHeight="1" s="51">
      <c r="A115" s="140" t="n"/>
      <c r="B115" s="140" t="n"/>
      <c r="C115" s="140" t="n"/>
      <c r="D115" s="140" t="n"/>
      <c r="E115" s="140" t="n"/>
      <c r="F115" s="140" t="n"/>
      <c r="G115" s="140" t="n"/>
      <c r="H115" s="140" t="n"/>
      <c r="I115" s="140" t="n"/>
      <c r="J115" s="140" t="n"/>
      <c r="K115" s="140" t="n"/>
      <c r="L115" s="140" t="n"/>
      <c r="M115" s="140" t="n"/>
      <c r="N115" s="140" t="n"/>
    </row>
    <row r="116" ht="12.75" customHeight="1" s="51">
      <c r="A116" s="140" t="n"/>
      <c r="B116" s="140" t="n"/>
      <c r="C116" s="140" t="n"/>
      <c r="D116" s="140" t="n"/>
      <c r="E116" s="140" t="n"/>
      <c r="F116" s="140" t="n"/>
      <c r="G116" s="140" t="n"/>
      <c r="H116" s="140" t="n"/>
      <c r="I116" s="140" t="n"/>
      <c r="J116" s="140" t="n"/>
      <c r="K116" s="140" t="n"/>
      <c r="L116" s="140" t="n"/>
      <c r="M116" s="140" t="n"/>
      <c r="N116" s="140" t="n"/>
    </row>
    <row r="117" ht="12.75" customHeight="1" s="51">
      <c r="A117" s="140" t="n"/>
      <c r="B117" s="140" t="n"/>
      <c r="C117" s="140" t="n"/>
      <c r="D117" s="140" t="n"/>
      <c r="E117" s="140" t="n"/>
      <c r="F117" s="140" t="n"/>
      <c r="G117" s="140" t="n"/>
      <c r="H117" s="140" t="n"/>
      <c r="I117" s="140" t="n"/>
      <c r="J117" s="140" t="n"/>
      <c r="K117" s="140" t="n"/>
      <c r="L117" s="140" t="n"/>
      <c r="M117" s="140" t="n"/>
      <c r="N117" s="140" t="n"/>
    </row>
    <row r="118" ht="12.75" customHeight="1" s="51">
      <c r="A118" s="140" t="n"/>
      <c r="B118" s="140" t="n"/>
      <c r="C118" s="140" t="n"/>
      <c r="D118" s="140" t="n"/>
      <c r="E118" s="140" t="n"/>
      <c r="F118" s="140" t="n"/>
      <c r="G118" s="140" t="n"/>
      <c r="H118" s="140" t="n"/>
      <c r="I118" s="140" t="n"/>
      <c r="J118" s="140" t="n"/>
      <c r="K118" s="140" t="n"/>
      <c r="L118" s="140" t="n"/>
      <c r="M118" s="140" t="n"/>
      <c r="N118" s="140" t="n"/>
    </row>
    <row r="119" ht="12.75" customHeight="1" s="51">
      <c r="A119" s="66" t="inlineStr">
        <is>
          <t>Transco</t>
        </is>
      </c>
    </row>
    <row r="120" ht="12.75" customHeight="1" s="51">
      <c r="D120" s="105" t="n"/>
      <c r="F120" s="182" t="n"/>
    </row>
    <row r="121">
      <c r="A121" s="68" t="inlineStr">
        <is>
          <t>FT Z3-Z6</t>
        </is>
      </c>
      <c r="E121" s="68" t="n"/>
      <c r="F121" s="68" t="n"/>
      <c r="G121" s="68" t="n"/>
      <c r="H121" s="68" t="n"/>
      <c r="I121" s="68" t="n"/>
      <c r="J121" s="68" t="n"/>
      <c r="K121" s="68" t="n"/>
      <c r="L121" s="68" t="n"/>
    </row>
    <row r="122" ht="12.75" customHeight="1" s="51">
      <c r="A122" s="68" t="inlineStr">
        <is>
          <t>Index</t>
        </is>
      </c>
      <c r="B122" s="68" t="inlineStr">
        <is>
          <t>St 65</t>
        </is>
      </c>
      <c r="C122" s="180" t="n">
        <v>4.36</v>
      </c>
      <c r="E122" s="68" t="n"/>
      <c r="F122" s="68" t="n"/>
      <c r="G122" s="180" t="n"/>
      <c r="H122" s="68" t="n"/>
      <c r="I122" s="68" t="n"/>
      <c r="J122" s="68" t="n"/>
      <c r="K122" s="180" t="n"/>
    </row>
    <row r="123" ht="12.75" customHeight="1" s="51">
      <c r="C123" s="180" t="n">
        <v>0.0075</v>
      </c>
      <c r="E123" s="68" t="n"/>
      <c r="F123" s="68" t="n"/>
      <c r="G123" s="180" t="n"/>
      <c r="H123" s="68" t="n"/>
      <c r="I123" s="68" t="n"/>
      <c r="J123" s="68" t="n"/>
      <c r="K123" s="180" t="n"/>
    </row>
    <row r="124" ht="12.75" customHeight="1" s="51">
      <c r="A124" s="68" t="inlineStr">
        <is>
          <t>Comm</t>
        </is>
      </c>
      <c r="C124" s="176" t="n">
        <v>0.0274</v>
      </c>
      <c r="E124" s="68" t="n"/>
      <c r="G124" s="180" t="n"/>
      <c r="H124" s="68" t="n"/>
      <c r="I124" s="68" t="n"/>
      <c r="K124" s="180" t="n"/>
    </row>
    <row r="125" ht="12.75" customHeight="1" s="51">
      <c r="A125" s="68" t="inlineStr">
        <is>
          <t>Surcharges</t>
        </is>
      </c>
      <c r="C125" s="176" t="n">
        <v>0.0225</v>
      </c>
      <c r="E125" s="68" t="n"/>
      <c r="G125" s="180" t="n"/>
      <c r="H125" s="68" t="n"/>
      <c r="I125" s="68" t="n"/>
      <c r="K125" s="180" t="n"/>
    </row>
    <row r="126" ht="12.75" customHeight="1" s="51">
      <c r="A126" s="68" t="inlineStr">
        <is>
          <t>Fuel</t>
        </is>
      </c>
      <c r="B126" s="186" t="n"/>
      <c r="C126" s="144" t="n">
        <v>0.0472</v>
      </c>
      <c r="E126" s="68" t="n"/>
      <c r="F126" s="186" t="n"/>
      <c r="G126" s="70" t="n"/>
      <c r="H126" s="68" t="n"/>
      <c r="I126" s="68" t="n"/>
      <c r="J126" s="186" t="n"/>
      <c r="K126" s="70" t="n"/>
    </row>
    <row r="127" ht="12.75" customHeight="1" s="51">
      <c r="A127" s="68" t="inlineStr">
        <is>
          <t>Transport</t>
        </is>
      </c>
      <c r="C127" s="177">
        <f>ROUND((+C122+C123)/(1-C126)+(C124+C125),4)-C122-C123</f>
        <v/>
      </c>
      <c r="E127" s="68" t="n"/>
      <c r="F127" s="68" t="n"/>
      <c r="G127" s="180" t="n"/>
      <c r="H127" s="68" t="n"/>
      <c r="I127" s="68" t="n"/>
      <c r="J127" s="68" t="n"/>
      <c r="K127" s="180" t="n"/>
    </row>
    <row r="128" ht="13.5" customHeight="1" s="51" thickBot="1">
      <c r="C128" s="185">
        <f>SUM(C127,C122:C123)</f>
        <v/>
      </c>
      <c r="D128" s="68" t="inlineStr">
        <is>
          <t>Deal 232619</t>
        </is>
      </c>
      <c r="E128" s="68" t="n"/>
      <c r="F128" s="68" t="n"/>
      <c r="G128" s="68" t="n"/>
      <c r="H128" s="68" t="n"/>
      <c r="I128" s="68" t="n"/>
      <c r="J128" s="68" t="n"/>
      <c r="K128" s="68" t="n"/>
      <c r="M128" s="182" t="n"/>
      <c r="N128" s="180" t="n"/>
    </row>
    <row r="129" ht="13.5" customHeight="1" s="51" thickTop="1">
      <c r="C129" s="180" t="n"/>
      <c r="G129" s="182" t="n"/>
      <c r="H129" s="187" t="n"/>
    </row>
    <row r="130" ht="12.75" customHeight="1" s="51">
      <c r="L130" s="180" t="n"/>
    </row>
    <row r="131" ht="12.75" customHeight="1" s="51">
      <c r="A131" s="140" t="n"/>
      <c r="B131" s="140" t="n"/>
      <c r="C131" s="140" t="n"/>
      <c r="D131" s="140" t="n"/>
      <c r="E131" s="140" t="n"/>
      <c r="F131" s="140" t="n"/>
      <c r="G131" s="140" t="n"/>
      <c r="H131" s="140" t="n"/>
      <c r="I131" s="140" t="n"/>
      <c r="J131" s="140" t="n"/>
      <c r="K131" s="140" t="n"/>
      <c r="L131" s="140" t="n"/>
      <c r="M131" s="140" t="n"/>
      <c r="N131" s="140" t="n"/>
    </row>
    <row r="132">
      <c r="A132" s="68" t="inlineStr">
        <is>
          <t>FT Z3-Z4</t>
        </is>
      </c>
      <c r="E132" s="68" t="n"/>
      <c r="F132" s="68" t="n"/>
      <c r="G132" s="68" t="n"/>
      <c r="H132" s="68" t="n"/>
      <c r="I132" s="68" t="n"/>
      <c r="J132" s="68" t="n"/>
      <c r="K132" s="68" t="n"/>
      <c r="L132" s="68" t="n"/>
    </row>
    <row r="133" ht="12.75" customHeight="1" s="51">
      <c r="A133" s="68" t="inlineStr">
        <is>
          <t>Index</t>
        </is>
      </c>
      <c r="B133" s="68" t="inlineStr">
        <is>
          <t>St 65</t>
        </is>
      </c>
      <c r="C133" s="176" t="n">
        <v>4.36</v>
      </c>
      <c r="E133" s="68" t="n"/>
      <c r="F133" s="68" t="n"/>
      <c r="G133" s="180" t="n"/>
      <c r="H133" s="68" t="n"/>
      <c r="I133" s="68" t="n"/>
      <c r="J133" s="68" t="n"/>
      <c r="K133" s="180" t="n"/>
    </row>
    <row r="134" ht="12.75" customHeight="1" s="51">
      <c r="C134" s="176" t="n">
        <v>0.0075</v>
      </c>
      <c r="E134" s="68" t="n"/>
      <c r="F134" s="68" t="n"/>
      <c r="G134" s="180" t="n"/>
      <c r="H134" s="68" t="n"/>
      <c r="I134" s="68" t="n"/>
      <c r="J134" s="68" t="n"/>
      <c r="K134" s="180" t="n"/>
    </row>
    <row r="135" ht="12.75" customHeight="1" s="51">
      <c r="A135" s="68" t="inlineStr">
        <is>
          <t>Comm</t>
        </is>
      </c>
      <c r="C135" s="176" t="n">
        <v>0.014</v>
      </c>
      <c r="E135" s="68" t="n"/>
      <c r="G135" s="180" t="n"/>
      <c r="H135" s="68" t="n"/>
      <c r="I135" s="68" t="n"/>
      <c r="K135" s="180" t="n"/>
    </row>
    <row r="136" ht="12.75" customHeight="1" s="51">
      <c r="A136" s="68" t="inlineStr">
        <is>
          <t>Surcharges</t>
        </is>
      </c>
      <c r="C136" s="176" t="n">
        <v>0.0225</v>
      </c>
      <c r="E136" s="68" t="n"/>
      <c r="G136" s="180" t="n"/>
      <c r="H136" s="68" t="n"/>
      <c r="I136" s="68" t="n"/>
      <c r="K136" s="180" t="n"/>
    </row>
    <row r="137" ht="12.75" customHeight="1" s="51">
      <c r="A137" s="68" t="inlineStr">
        <is>
          <t>Fuel</t>
        </is>
      </c>
      <c r="B137" s="186" t="n"/>
      <c r="C137" s="144" t="n">
        <v>0.0235</v>
      </c>
      <c r="E137" s="68" t="n"/>
      <c r="F137" s="186" t="n"/>
      <c r="G137" s="70" t="n"/>
      <c r="H137" s="68" t="n"/>
      <c r="I137" s="68" t="n"/>
      <c r="J137" s="186" t="n"/>
      <c r="K137" s="70" t="n"/>
    </row>
    <row r="138" ht="12.75" customHeight="1" s="51">
      <c r="A138" s="68" t="inlineStr">
        <is>
          <t>Transport</t>
        </is>
      </c>
      <c r="C138" s="177">
        <f>ROUND((+C133+C134)/(1-C137)+(C135+C136),4)-C133-C134</f>
        <v/>
      </c>
      <c r="E138" s="68" t="n"/>
      <c r="F138" s="68" t="n"/>
      <c r="G138" s="180" t="n"/>
      <c r="H138" s="68" t="n"/>
      <c r="I138" s="68" t="n"/>
      <c r="J138" s="68" t="n"/>
      <c r="K138" s="180" t="n"/>
    </row>
    <row r="139" ht="13.5" customHeight="1" s="51" thickBot="1">
      <c r="C139" s="178">
        <f>SUM(C138,C133:C134)</f>
        <v/>
      </c>
      <c r="D139" s="68" t="inlineStr">
        <is>
          <t>Deal 231742</t>
        </is>
      </c>
      <c r="E139" s="68" t="n"/>
      <c r="F139" s="68" t="n"/>
      <c r="G139" s="68" t="n"/>
      <c r="H139" s="68" t="n"/>
      <c r="I139" s="68" t="n"/>
      <c r="J139" s="68" t="n"/>
      <c r="K139" s="68" t="n"/>
      <c r="M139" s="182" t="n"/>
      <c r="N139" s="180" t="n"/>
    </row>
    <row r="140" ht="13.5" customHeight="1" s="51" thickTop="1">
      <c r="C140" s="180" t="n"/>
      <c r="G140" s="182" t="n"/>
      <c r="H140" s="187" t="n"/>
    </row>
    <row r="141" ht="12.75" customHeight="1" s="51">
      <c r="A141" s="140" t="n"/>
      <c r="B141" s="140" t="n"/>
      <c r="C141" s="140" t="n"/>
      <c r="D141" s="140" t="n"/>
      <c r="E141" s="140" t="n"/>
      <c r="F141" s="140" t="n"/>
      <c r="G141" s="140" t="n"/>
      <c r="H141" s="140" t="n"/>
      <c r="I141" s="140" t="n"/>
      <c r="J141" s="140" t="n"/>
      <c r="K141" s="140" t="n"/>
      <c r="L141" s="140" t="n"/>
      <c r="M141" s="140" t="n"/>
      <c r="N141" s="140" t="n"/>
    </row>
    <row r="142" ht="12.75" customHeight="1" s="51">
      <c r="A142" s="140" t="n"/>
      <c r="B142" s="140" t="n"/>
      <c r="C142" s="140" t="n"/>
      <c r="D142" s="140" t="n"/>
      <c r="E142" s="140" t="n"/>
      <c r="F142" s="140" t="n"/>
      <c r="G142" s="140" t="n"/>
      <c r="H142" s="140" t="n"/>
      <c r="I142" s="140" t="n"/>
      <c r="J142" s="140" t="n"/>
      <c r="K142" s="140" t="n"/>
      <c r="L142" s="140" t="n"/>
      <c r="M142" s="140" t="n"/>
      <c r="N142" s="140" t="n"/>
    </row>
    <row r="143">
      <c r="A143" s="68" t="inlineStr">
        <is>
          <t>[Person_5] Schedule FTSR No. 37F</t>
        </is>
      </c>
      <c r="I143" s="68" t="inlineStr">
        <is>
          <t>[Person_6]. 37M</t>
        </is>
      </c>
    </row>
    <row r="144" ht="12.75" customHeight="1" s="51">
      <c r="A144" s="68" t="inlineStr">
        <is>
          <t>Index</t>
        </is>
      </c>
      <c r="B144" s="68" t="inlineStr">
        <is>
          <t>St 85</t>
        </is>
      </c>
      <c r="C144" s="176" t="n">
        <v>4.37</v>
      </c>
      <c r="I144" s="68" t="inlineStr">
        <is>
          <t>Index</t>
        </is>
      </c>
      <c r="J144" s="68" t="inlineStr">
        <is>
          <t>St 85</t>
        </is>
      </c>
      <c r="K144" s="176" t="n">
        <v>4.37</v>
      </c>
    </row>
    <row r="145" ht="12.75" customHeight="1" s="51">
      <c r="A145" s="68" t="inlineStr">
        <is>
          <t>Index [Person_1]</t>
        </is>
      </c>
      <c r="C145" s="176" t="n">
        <v>0.0175</v>
      </c>
      <c r="K145" s="176" t="n">
        <v>0.0175</v>
      </c>
    </row>
    <row r="146" ht="12.75" customHeight="1" s="51">
      <c r="A146" s="68" t="inlineStr">
        <is>
          <t>Comm</t>
        </is>
      </c>
      <c r="C146" s="176" t="n">
        <v>0.0115</v>
      </c>
      <c r="I146" s="68" t="inlineStr">
        <is>
          <t>Comm</t>
        </is>
      </c>
      <c r="K146" s="176" t="n">
        <v>0.0023</v>
      </c>
    </row>
    <row r="147" ht="12.75" customHeight="1" s="51">
      <c r="A147" s="68" t="inlineStr">
        <is>
          <t>Surcharges</t>
        </is>
      </c>
      <c r="C147" s="176" t="n">
        <v>0.0094</v>
      </c>
      <c r="D147" s="68" t="inlineStr">
        <is>
          <t>(excluded Great Plains)</t>
        </is>
      </c>
      <c r="I147" s="68" t="inlineStr">
        <is>
          <t>Surcharges</t>
        </is>
      </c>
      <c r="K147" s="176" t="n">
        <v>0.0094</v>
      </c>
      <c r="L147" s="68" t="inlineStr">
        <is>
          <t>(excluded Great Plains)</t>
        </is>
      </c>
    </row>
    <row r="148" ht="12.75" customHeight="1" s="51">
      <c r="A148" s="68" t="inlineStr">
        <is>
          <t>Fuel</t>
        </is>
      </c>
      <c r="B148" s="186" t="n"/>
      <c r="C148" s="144" t="n">
        <v>0.019</v>
      </c>
      <c r="I148" s="68" t="inlineStr">
        <is>
          <t>Fuel</t>
        </is>
      </c>
      <c r="J148" s="186" t="n"/>
      <c r="K148" s="144" t="n">
        <v>0.019</v>
      </c>
    </row>
    <row r="149" ht="12.75" customHeight="1" s="51">
      <c r="A149" s="68" t="inlineStr">
        <is>
          <t>Transport</t>
        </is>
      </c>
      <c r="C149" s="177">
        <f>ROUND((+C144+C145)/(1-C148)+(C146+C147),4)-C144-C145</f>
        <v/>
      </c>
      <c r="I149" s="68" t="inlineStr">
        <is>
          <t>Transport</t>
        </is>
      </c>
      <c r="K149" s="177">
        <f>ROUND((+K144+K145)/(1-K148)+(K146+K147),4)-K144-K145</f>
        <v/>
      </c>
    </row>
    <row r="150" ht="13.5" customHeight="1" s="51" thickBot="1">
      <c r="A150" s="68" t="inlineStr">
        <is>
          <t>Delivered Price</t>
        </is>
      </c>
      <c r="C150" s="178">
        <f>SUM(C149,C144:C145)</f>
        <v/>
      </c>
      <c r="D150" s="68" t="inlineStr">
        <is>
          <t>Deal 231741</t>
        </is>
      </c>
      <c r="I150" s="68" t="inlineStr">
        <is>
          <t>Delivered Price</t>
        </is>
      </c>
      <c r="J150" s="68" t="n"/>
      <c r="K150" s="178">
        <f>SUM(K149,K144:K145)</f>
        <v/>
      </c>
      <c r="L150" t="inlineStr">
        <is>
          <t>Deal 206266</t>
        </is>
      </c>
      <c r="M150" s="182" t="n"/>
      <c r="N150" s="180" t="n"/>
    </row>
    <row r="151" ht="13.5" customHeight="1" s="51" thickTop="1">
      <c r="C151" s="180" t="n"/>
      <c r="G151" s="182" t="n"/>
      <c r="H151" s="187" t="n"/>
    </row>
    <row r="152" ht="12.75" customHeight="1" s="51">
      <c r="A152" s="140" t="n"/>
      <c r="B152" s="140" t="n"/>
      <c r="C152" s="140" t="n"/>
      <c r="D152" s="140" t="n"/>
      <c r="E152" s="140" t="n"/>
      <c r="F152" s="140" t="n"/>
      <c r="G152" s="140" t="n"/>
      <c r="H152" s="140" t="n"/>
      <c r="I152" s="140" t="n"/>
      <c r="J152" s="140" t="n"/>
      <c r="K152" s="140" t="n"/>
      <c r="L152" s="140" t="n"/>
      <c r="M152" s="140" t="n"/>
      <c r="N152" s="140" t="n"/>
    </row>
    <row r="153">
      <c r="A153" s="68" t="inlineStr">
        <is>
          <t>[Person_7] PSNC Volumetric Release</t>
        </is>
      </c>
    </row>
    <row r="154">
      <c r="A154" s="68" t="inlineStr">
        <is>
          <t>Index</t>
        </is>
      </c>
      <c r="B154" s="68" t="inlineStr">
        <is>
          <t>St 85</t>
        </is>
      </c>
      <c r="C154" s="176" t="n">
        <v>4.37</v>
      </c>
      <c r="D154" s="68" t="inlineStr">
        <is>
          <t>Deal 158693.  PSNC sends ENA an invoice for this gas.  ENA will forward this to PSNC each month.</t>
        </is>
      </c>
    </row>
    <row r="155" ht="12.75" customHeight="1" s="51">
      <c r="A155" s="68" t="inlineStr">
        <is>
          <t>Comm</t>
        </is>
      </c>
      <c r="C155" s="176" t="n">
        <v>0.0203</v>
      </c>
    </row>
    <row r="156" ht="12.75" customHeight="1" s="51">
      <c r="A156" s="68" t="inlineStr">
        <is>
          <t>Surcharges</t>
        </is>
      </c>
      <c r="C156" s="176" t="n">
        <v>0.0225</v>
      </c>
    </row>
    <row r="157">
      <c r="A157" s="68" t="inlineStr">
        <is>
          <t>Fuel</t>
        </is>
      </c>
      <c r="B157" s="186" t="n"/>
      <c r="C157" s="144" t="n">
        <v>0.0343</v>
      </c>
    </row>
    <row r="158">
      <c r="A158" s="68" t="inlineStr">
        <is>
          <t>Transport</t>
        </is>
      </c>
      <c r="C158" s="177" t="n">
        <v>0.1428000000000003</v>
      </c>
    </row>
    <row r="159">
      <c r="A159" s="68" t="inlineStr">
        <is>
          <t>[Person_8]</t>
        </is>
      </c>
      <c r="C159" s="188" t="n">
        <v>0.27</v>
      </c>
    </row>
    <row r="160" ht="12.75" customHeight="1" s="51" thickBot="1">
      <c r="A160" s="68" t="inlineStr">
        <is>
          <t>Delivered Price</t>
        </is>
      </c>
      <c r="C160" s="178" t="n">
        <v>3.0428</v>
      </c>
      <c r="D160" s="68" t="inlineStr">
        <is>
          <t>Deal 157591.  Because this is a volumetric contract, the demand charge</t>
        </is>
      </c>
    </row>
    <row r="161" ht="12.75" customHeight="1" s="51" thickTop="1">
      <c r="D161" s="68" t="inlineStr">
        <is>
          <t>for the capacity is included in the sales price.  There should not be a demand</t>
        </is>
      </c>
    </row>
    <row r="162">
      <c r="D162" s="68" t="inlineStr">
        <is>
          <t>charge for this contract on the capacity worksheet.</t>
        </is>
      </c>
    </row>
    <row r="163"/>
    <row r="164"/>
    <row r="165"/>
    <row r="166">
      <c r="A166" s="68" t="inlineStr">
        <is>
          <t>FT Z3-Z5</t>
        </is>
      </c>
    </row>
    <row r="167">
      <c r="A167" s="68" t="inlineStr">
        <is>
          <t>Index</t>
        </is>
      </c>
      <c r="B167" s="68" t="inlineStr">
        <is>
          <t>St 65</t>
        </is>
      </c>
      <c r="C167" s="176" t="n">
        <v>4.36</v>
      </c>
    </row>
    <row r="168">
      <c r="C168" s="176" t="n">
        <v>0.0075</v>
      </c>
    </row>
    <row r="169" ht="12.75" customHeight="1" s="51">
      <c r="A169" s="68" t="inlineStr">
        <is>
          <t>Comm</t>
        </is>
      </c>
      <c r="C169" s="176" t="n">
        <v>0.0228</v>
      </c>
    </row>
    <row r="170" ht="12.75" customHeight="1" s="51">
      <c r="A170" s="68" t="inlineStr">
        <is>
          <t>Surcharges</t>
        </is>
      </c>
      <c r="C170" s="176" t="n">
        <v>0.0225</v>
      </c>
    </row>
    <row r="171">
      <c r="A171" s="68" t="inlineStr">
        <is>
          <t>Fuel</t>
        </is>
      </c>
      <c r="B171" s="186" t="n"/>
      <c r="C171" s="144" t="n">
        <v>0.0388</v>
      </c>
    </row>
    <row r="172">
      <c r="A172" s="68" t="inlineStr">
        <is>
          <t>Transport</t>
        </is>
      </c>
      <c r="C172" s="177">
        <f>ROUND((+C167+C168)/(1-C171)+(C169+C170),4)-C167-C168</f>
        <v/>
      </c>
    </row>
    <row r="173" ht="12.75" customHeight="1" s="51" thickBot="1">
      <c r="A173" s="68" t="inlineStr">
        <is>
          <t>Delivered Price</t>
        </is>
      </c>
      <c r="C173" s="178">
        <f>SUM(C172,C167:C168)</f>
        <v/>
      </c>
      <c r="D173" s="68" t="inlineStr">
        <is>
          <t>Deal 232614</t>
        </is>
      </c>
    </row>
    <row r="174" ht="12.75" customHeight="1" s="51" thickTop="1"/>
    <row r="175"/>
    <row r="176"/>
    <row r="177"/>
    <row r="178"/>
    <row r="179"/>
    <row r="180">
      <c r="A180" s="67" t="inlineStr">
        <is>
          <t>Texas Gas</t>
        </is>
      </c>
    </row>
    <row r="181">
      <c r="A181" s="68" t="inlineStr">
        <is>
          <t>Index</t>
        </is>
      </c>
      <c r="B181" s="68" t="inlineStr">
        <is>
          <t>SL</t>
        </is>
      </c>
      <c r="C181" s="176" t="n">
        <v>4.33</v>
      </c>
    </row>
    <row r="182">
      <c r="A182" s="68" t="inlineStr">
        <is>
          <t>Index [Person_1]</t>
        </is>
      </c>
      <c r="C182" s="176" t="n">
        <v>-0.01</v>
      </c>
    </row>
    <row r="183">
      <c r="A183" s="68" t="inlineStr">
        <is>
          <t>Comm</t>
        </is>
      </c>
      <c r="C183" s="176" t="n">
        <v>0.0323</v>
      </c>
    </row>
    <row r="184">
      <c r="A184" s="68" t="inlineStr">
        <is>
          <t>Surcharges</t>
        </is>
      </c>
      <c r="C184" s="176" t="n">
        <v>0.0094</v>
      </c>
    </row>
    <row r="185">
      <c r="A185" s="68" t="inlineStr">
        <is>
          <t>Fuel</t>
        </is>
      </c>
      <c r="C185" s="144" t="n">
        <v>0.0268</v>
      </c>
    </row>
    <row r="186">
      <c r="A186" s="68" t="inlineStr">
        <is>
          <t>Transport</t>
        </is>
      </c>
      <c r="C186" s="177">
        <f>ROUND((+C181+C182)/(1-C185)+(C183+C184),4)-C181-C182</f>
        <v/>
      </c>
    </row>
    <row r="187" ht="12.75" customHeight="1" s="51" thickBot="1">
      <c r="A187" s="68" t="inlineStr">
        <is>
          <t>Delivered Price</t>
        </is>
      </c>
      <c r="C187" s="178">
        <f>SUM(C186,C181:C182)</f>
        <v/>
      </c>
      <c r="D187" s="68" t="inlineStr">
        <is>
          <t> </t>
        </is>
      </c>
    </row>
    <row r="188" ht="12.75" customHeight="1" s="51" thickTop="1"/>
    <row r="189"/>
    <row r="190">
      <c r="A190" s="67" t="inlineStr">
        <is>
          <t>Sonat</t>
        </is>
      </c>
    </row>
    <row r="191">
      <c r="A191" s="68" t="inlineStr">
        <is>
          <t>Index</t>
        </is>
      </c>
      <c r="B191" s="68" t="inlineStr">
        <is>
          <t>La</t>
        </is>
      </c>
      <c r="C191" s="176" t="n">
        <v>4.35</v>
      </c>
    </row>
    <row r="192">
      <c r="A192" s="68" t="inlineStr">
        <is>
          <t>Index [Person_1]</t>
        </is>
      </c>
      <c r="C192" s="176" t="n">
        <v>0.0075</v>
      </c>
    </row>
    <row r="193">
      <c r="A193" s="68" t="inlineStr">
        <is>
          <t>Comm</t>
        </is>
      </c>
      <c r="C193" s="176" t="n">
        <v>0.021</v>
      </c>
    </row>
    <row r="194">
      <c r="A194" s="68" t="inlineStr">
        <is>
          <t>Surcharges</t>
        </is>
      </c>
      <c r="C194" s="176">
        <f>0.0022+0.0072</f>
        <v/>
      </c>
    </row>
    <row r="195">
      <c r="A195" s="68" t="inlineStr">
        <is>
          <t>Fuel</t>
        </is>
      </c>
      <c r="C195" s="144" t="n">
        <v>0.026</v>
      </c>
    </row>
    <row r="196">
      <c r="A196" s="68" t="inlineStr">
        <is>
          <t>Transport</t>
        </is>
      </c>
      <c r="C196" s="177">
        <f>ROUND((+C191+C192)/(1-C195)-(C191+C192)+C193+C194,4)</f>
        <v/>
      </c>
    </row>
    <row r="197" ht="12.75" customHeight="1" s="51" thickBot="1">
      <c r="A197" s="68" t="inlineStr">
        <is>
          <t>Delivered Price</t>
        </is>
      </c>
      <c r="C197" s="178">
        <f>SUM(C196,C191:C192)</f>
        <v/>
      </c>
      <c r="D197" s="68" t="inlineStr">
        <is>
          <t>Deal 231744</t>
        </is>
      </c>
    </row>
    <row r="198" ht="12.75" customHeight="1" s="51" thickTop="1"/>
  </sheetData>
  <pageMargins left="0.75" right="0.75" top="1" bottom="1" header="0.5" footer="0.5"/>
  <pageSetup orientation="portrait" verticalDpi="30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81"/>
  <sheetViews>
    <sheetView topLeftCell="A63" workbookViewId="0">
      <selection activeCell="F70" sqref="F70"/>
    </sheetView>
  </sheetViews>
  <sheetFormatPr baseColWidth="8" defaultRowHeight="12.75"/>
  <cols>
    <col width="9.140625" customWidth="1" style="51" min="1" max="1"/>
    <col width="10" customWidth="1" style="51" min="2" max="2"/>
    <col width="9.140625" customWidth="1" style="51" min="3" max="3"/>
    <col width="10.5703125" customWidth="1" style="51" min="4" max="4"/>
    <col width="9.28515625" customWidth="1" style="51" min="5" max="5"/>
    <col width="9.5703125" customWidth="1" style="51" min="6" max="6"/>
    <col width="12.42578125" customWidth="1" style="61" min="7" max="7"/>
    <col width="16.42578125" customWidth="1" style="61" min="8" max="8"/>
    <col width="16.5703125" customWidth="1" style="51" min="9" max="9"/>
    <col width="7.7109375" customWidth="1" style="51" min="10" max="10"/>
    <col hidden="1" width="13" customWidth="1" style="51" min="11" max="14"/>
    <col hidden="1" width="13" customWidth="1" style="189" min="15" max="15"/>
    <col hidden="1" width="13" customWidth="1" style="51" min="16" max="16"/>
    <col width="14.28515625" customWidth="1" style="51" min="17" max="17"/>
    <col width="10.85546875" customWidth="1" style="51" min="18" max="18"/>
    <col width="12.28515625" customWidth="1" style="51" min="19" max="19"/>
    <col width="10.7109375" customWidth="1" style="51" min="20" max="20"/>
    <col width="11.85546875" customWidth="1" style="51" min="21" max="21"/>
    <col width="14.85546875" customWidth="1" style="51" min="22" max="22"/>
    <col width="42.28515625" customWidth="1" style="61" min="23" max="23"/>
    <col width="9.140625" customWidth="1" style="51" min="24" max="25"/>
    <col width="12.42578125" customWidth="1" style="51" min="26" max="26"/>
    <col width="9.140625" customWidth="1" style="51" min="27" max="16384"/>
  </cols>
  <sheetData>
    <row r="1">
      <c r="B1" s="41" t="inlineStr">
        <is>
          <t>CES East Desk Transportation Capacity for July, 2000</t>
        </is>
      </c>
      <c r="C1" s="40" t="n"/>
      <c r="D1" s="40" t="n"/>
      <c r="E1" s="4" t="n"/>
      <c r="F1" s="4" t="n"/>
      <c r="G1" s="58" t="n"/>
      <c r="H1" s="58" t="n"/>
      <c r="I1" s="40" t="inlineStr">
        <is>
          <t>Days</t>
        </is>
      </c>
      <c r="J1" s="7" t="n">
        <v>31</v>
      </c>
      <c r="K1" s="190" t="inlineStr">
        <is>
          <t>CES Contact:  [Person_9] [PHONE_PREFIX]-2801</t>
        </is>
      </c>
      <c r="L1" s="191" t="n"/>
      <c r="M1" s="191" t="n"/>
      <c r="N1" s="191" t="n"/>
      <c r="O1" s="192" t="n"/>
      <c r="P1" s="191" t="n"/>
      <c r="Q1" s="49" t="n"/>
      <c r="R1" s="50" t="n"/>
      <c r="S1" s="28" t="n"/>
      <c r="T1" s="28" t="n"/>
      <c r="U1" s="28" t="n"/>
      <c r="V1" s="56" t="n"/>
      <c r="W1" s="58" t="n"/>
      <c r="X1" s="36" t="n"/>
      <c r="Y1" s="36" t="n"/>
    </row>
    <row r="2">
      <c r="B2" s="58" t="inlineStr">
        <is>
          <t>Items have been checked</t>
        </is>
      </c>
      <c r="C2" s="58" t="n"/>
      <c r="D2" s="58" t="n"/>
      <c r="E2" s="4" t="n"/>
      <c r="F2" s="4" t="n"/>
      <c r="G2" s="58" t="n"/>
      <c r="H2" s="58" t="n"/>
      <c r="I2" s="40" t="n"/>
      <c r="J2" s="7" t="n"/>
      <c r="K2" s="190" t="inlineStr">
        <is>
          <t>[Person_10]:  [Person_11] 3-6751</t>
        </is>
      </c>
      <c r="L2" s="191" t="n"/>
      <c r="M2" s="191" t="n"/>
      <c r="N2" s="191" t="n"/>
      <c r="O2" s="192" t="n"/>
      <c r="P2" s="191" t="n"/>
      <c r="Q2" s="49" t="n"/>
      <c r="R2" s="50" t="n"/>
      <c r="S2" s="28" t="n"/>
      <c r="T2" s="28" t="n"/>
      <c r="U2" s="28" t="n"/>
      <c r="V2" s="56" t="n"/>
      <c r="W2" s="58" t="n"/>
      <c r="X2" s="36" t="n"/>
      <c r="Y2" s="36" t="n"/>
    </row>
    <row r="3">
      <c r="B3" s="58" t="inlineStr">
        <is>
          <t>Need to verify</t>
        </is>
      </c>
      <c r="C3" s="58" t="n"/>
      <c r="D3" s="58" t="n"/>
      <c r="E3" s="4" t="n"/>
      <c r="F3" s="4" t="n"/>
      <c r="G3" s="6" t="inlineStr">
        <is>
          <t> </t>
        </is>
      </c>
      <c r="H3" s="58" t="inlineStr">
        <is>
          <t> </t>
        </is>
      </c>
      <c r="I3" s="50" t="inlineStr">
        <is>
          <t> </t>
        </is>
      </c>
      <c r="J3" s="193" t="n"/>
      <c r="K3" s="194" t="inlineStr">
        <is>
          <t> </t>
        </is>
      </c>
      <c r="L3" s="191" t="n"/>
      <c r="M3" s="194" t="inlineStr">
        <is>
          <t> </t>
        </is>
      </c>
      <c r="N3" s="191" t="n"/>
      <c r="O3" s="192" t="n"/>
      <c r="P3" s="194" t="inlineStr">
        <is>
          <t> </t>
        </is>
      </c>
      <c r="Q3" s="49" t="n"/>
      <c r="R3" s="50" t="n"/>
      <c r="S3" s="28" t="n"/>
      <c r="T3" s="28" t="n"/>
      <c r="U3" s="28" t="n"/>
      <c r="V3" s="56" t="n"/>
      <c r="W3" s="58" t="n"/>
      <c r="X3" s="36" t="n"/>
      <c r="Y3" s="36" t="n"/>
    </row>
    <row r="4">
      <c r="B4" s="58" t="n"/>
      <c r="C4" s="40" t="n"/>
      <c r="D4" s="40" t="n"/>
      <c r="E4" s="4" t="n"/>
      <c r="F4" s="4" t="n"/>
      <c r="G4" s="32" t="n"/>
      <c r="H4" s="58" t="n"/>
      <c r="I4" s="32" t="n"/>
      <c r="J4" s="193" t="n"/>
      <c r="K4" s="32" t="n"/>
      <c r="L4" s="191" t="n"/>
      <c r="M4" s="32" t="n"/>
      <c r="N4" s="50" t="n"/>
      <c r="O4" s="192" t="n"/>
      <c r="P4" s="50" t="n"/>
      <c r="Q4" s="49" t="n"/>
      <c r="R4" s="50" t="n"/>
      <c r="S4" s="28" t="n"/>
      <c r="T4" s="33" t="n"/>
      <c r="U4" s="33" t="n"/>
      <c r="V4" s="53" t="n"/>
      <c r="W4" s="58" t="n"/>
      <c r="X4" s="36" t="n"/>
      <c r="Y4" s="36" t="n"/>
    </row>
    <row r="5">
      <c r="B5" s="58" t="inlineStr">
        <is>
          <t>Comments:</t>
        </is>
      </c>
      <c r="C5" s="40" t="n"/>
      <c r="D5" s="58" t="n"/>
      <c r="E5" s="4" t="n"/>
      <c r="F5" s="4" t="n"/>
      <c r="G5" s="32" t="n"/>
      <c r="H5" s="58" t="n"/>
      <c r="I5" s="32" t="n"/>
      <c r="J5" s="193" t="n"/>
      <c r="K5" s="32" t="n"/>
      <c r="L5" s="191" t="n"/>
      <c r="M5" s="32" t="n"/>
      <c r="N5" s="50" t="n"/>
      <c r="O5" s="192" t="n"/>
      <c r="P5" s="50" t="n"/>
      <c r="Q5" s="49" t="n"/>
      <c r="R5" s="50" t="n"/>
      <c r="S5" s="28" t="n"/>
      <c r="T5" s="33" t="n"/>
      <c r="U5" s="33" t="n"/>
      <c r="V5" s="53" t="n"/>
      <c r="W5" s="58" t="n"/>
      <c r="X5" s="36" t="n"/>
      <c r="Y5" s="36" t="n"/>
    </row>
    <row r="6">
      <c r="B6" s="58" t="n"/>
      <c r="C6" s="40" t="inlineStr">
        <is>
          <t>Pending Release</t>
        </is>
      </c>
      <c r="D6" s="40" t="n"/>
      <c r="E6" s="4" t="n"/>
      <c r="F6" s="4" t="n"/>
      <c r="G6" s="32" t="n"/>
      <c r="H6" s="58" t="n"/>
      <c r="I6" s="32" t="n"/>
      <c r="J6" s="193" t="n"/>
      <c r="K6" s="32" t="n"/>
      <c r="L6" s="191" t="n"/>
      <c r="M6" s="32" t="n"/>
      <c r="N6" s="50" t="n"/>
      <c r="O6" s="192" t="n"/>
      <c r="P6" s="50" t="n"/>
      <c r="Q6" s="49" t="n"/>
      <c r="R6" s="50" t="n"/>
      <c r="S6" s="28" t="n"/>
      <c r="T6" s="33" t="n"/>
      <c r="U6" s="33" t="n"/>
      <c r="V6" s="53" t="n"/>
      <c r="W6" s="58" t="n"/>
      <c r="X6" s="36" t="n"/>
      <c r="Y6" s="36" t="n"/>
    </row>
    <row r="7">
      <c r="B7" s="58" t="n"/>
      <c r="C7" s="40" t="n"/>
      <c r="D7" s="40" t="n"/>
      <c r="E7" s="4" t="n"/>
      <c r="F7" s="4" t="n"/>
      <c r="G7" s="32" t="n"/>
      <c r="H7" s="58" t="n"/>
      <c r="I7" s="32" t="n"/>
      <c r="J7" s="193" t="n"/>
      <c r="K7" s="32" t="n"/>
      <c r="L7" s="191" t="n"/>
      <c r="M7" s="32" t="n"/>
      <c r="N7" s="50" t="n"/>
      <c r="O7" s="192" t="n"/>
      <c r="P7" s="50" t="n"/>
      <c r="Q7" s="49" t="n"/>
      <c r="R7" s="50" t="n"/>
      <c r="S7" s="28" t="n"/>
      <c r="T7" s="33" t="n"/>
      <c r="U7" s="33" t="n"/>
      <c r="V7" s="53" t="n"/>
      <c r="W7" s="58" t="n"/>
      <c r="X7" s="36" t="n"/>
      <c r="Y7" s="36" t="n"/>
    </row>
    <row r="8">
      <c r="B8" s="58" t="n"/>
      <c r="C8" s="40" t="n"/>
      <c r="D8" s="40" t="n"/>
      <c r="E8" s="4" t="n"/>
      <c r="F8" s="4" t="n"/>
      <c r="G8" s="32" t="n"/>
      <c r="H8" s="58" t="n"/>
      <c r="I8" s="32" t="n"/>
      <c r="J8" s="193" t="n"/>
      <c r="K8" s="32" t="n"/>
      <c r="L8" s="191" t="n"/>
      <c r="M8" s="32" t="n"/>
      <c r="N8" s="50" t="n"/>
      <c r="O8" s="192" t="n"/>
      <c r="P8" s="50" t="n"/>
      <c r="Q8" s="49" t="n"/>
      <c r="R8" s="50" t="n"/>
      <c r="S8" s="28" t="n"/>
      <c r="T8" s="33" t="n"/>
      <c r="U8" s="33" t="n"/>
      <c r="V8" s="53" t="n"/>
      <c r="W8" s="58" t="n"/>
      <c r="X8" s="36" t="n"/>
      <c r="Y8" s="36" t="n"/>
    </row>
    <row r="9">
      <c r="B9" s="58" t="n"/>
      <c r="C9" s="40" t="n"/>
      <c r="D9" s="40" t="n"/>
      <c r="E9" s="4" t="n"/>
      <c r="F9" s="4" t="n"/>
      <c r="G9" s="32" t="n"/>
      <c r="H9" s="58" t="n"/>
      <c r="I9" s="32" t="n"/>
      <c r="J9" s="193" t="n"/>
      <c r="K9" s="32" t="n"/>
      <c r="L9" s="191" t="n"/>
      <c r="M9" s="32" t="n"/>
      <c r="N9" s="50" t="n"/>
      <c r="O9" s="192" t="n"/>
      <c r="P9" s="50" t="n"/>
      <c r="Q9" s="49" t="n"/>
      <c r="R9" s="50" t="n"/>
      <c r="S9" s="28" t="n"/>
      <c r="T9" s="33" t="n"/>
      <c r="U9" s="33" t="n"/>
      <c r="V9" s="53" t="n"/>
      <c r="W9" s="58" t="n"/>
      <c r="X9" s="36" t="n"/>
      <c r="Y9" s="36" t="n"/>
    </row>
    <row r="10">
      <c r="B10" s="58" t="n"/>
      <c r="C10" s="40" t="n"/>
      <c r="D10" s="40" t="n"/>
      <c r="E10" s="4" t="n"/>
      <c r="F10" s="4" t="n"/>
      <c r="G10" s="32" t="n"/>
      <c r="H10" s="58" t="n"/>
      <c r="I10" s="32" t="n"/>
      <c r="J10" s="193" t="n"/>
      <c r="K10" s="32" t="n"/>
      <c r="L10" s="191" t="n"/>
      <c r="M10" s="32" t="n"/>
      <c r="N10" s="50" t="n"/>
      <c r="O10" s="192" t="n"/>
      <c r="P10" s="50" t="n"/>
      <c r="Q10" s="49" t="n"/>
      <c r="R10" s="50" t="n"/>
      <c r="S10" s="28" t="n"/>
      <c r="T10" s="33" t="n"/>
      <c r="U10" s="33" t="n"/>
      <c r="V10" s="53" t="n"/>
      <c r="W10" s="58" t="n"/>
      <c r="X10" s="36" t="n"/>
      <c r="Y10" s="36" t="n"/>
    </row>
    <row r="11">
      <c r="B11" s="16" t="inlineStr">
        <is>
          <t>buy/sell</t>
        </is>
      </c>
      <c r="C11" s="17" t="inlineStr">
        <is>
          <t>pipe</t>
        </is>
      </c>
      <c r="D11" s="17" t="inlineStr">
        <is>
          <t>Cust / LDC</t>
        </is>
      </c>
      <c r="E11" s="18" t="inlineStr">
        <is>
          <t>dates</t>
        </is>
      </c>
      <c r="F11" s="18" t="n"/>
      <c r="G11" s="16" t="inlineStr">
        <is>
          <t>rec</t>
        </is>
      </c>
      <c r="H11" s="16" t="inlineStr">
        <is>
          <t>del</t>
        </is>
      </c>
      <c r="I11" s="17" t="inlineStr">
        <is>
          <t>Type</t>
        </is>
      </c>
      <c r="J11" s="195" t="inlineStr">
        <is>
          <t>dem</t>
        </is>
      </c>
      <c r="K11" s="17" t="inlineStr">
        <is>
          <t>com</t>
        </is>
      </c>
      <c r="L11" s="17" t="inlineStr">
        <is>
          <t>aca</t>
        </is>
      </c>
      <c r="M11" s="17" t="inlineStr">
        <is>
          <t>gri</t>
        </is>
      </c>
      <c r="N11" s="17" t="inlineStr">
        <is>
          <t>s/c</t>
        </is>
      </c>
      <c r="O11" s="196" t="inlineStr">
        <is>
          <t>fuel %</t>
        </is>
      </c>
      <c r="P11" s="17" t="inlineStr">
        <is>
          <t>total</t>
        </is>
      </c>
      <c r="Q11" s="20" t="inlineStr">
        <is>
          <t>New K#</t>
        </is>
      </c>
      <c r="R11" s="17" t="inlineStr">
        <is>
          <t>vol</t>
        </is>
      </c>
      <c r="S11" s="16" t="inlineStr">
        <is>
          <t>comment</t>
        </is>
      </c>
      <c r="T11" s="21" t="inlineStr">
        <is>
          <t>Est Demand</t>
        </is>
      </c>
      <c r="U11" s="21" t="inlineStr">
        <is>
          <t>Act Demand</t>
        </is>
      </c>
      <c r="V11" s="54" t="inlineStr">
        <is>
          <t>New Sitara</t>
        </is>
      </c>
      <c r="W11" s="59" t="inlineStr">
        <is>
          <t>Questions</t>
        </is>
      </c>
      <c r="X11" s="36" t="n"/>
      <c r="Y11" s="36" t="n"/>
    </row>
    <row r="12">
      <c r="B12" s="16" t="inlineStr">
        <is>
          <t>buy/sell</t>
        </is>
      </c>
      <c r="C12" s="17" t="inlineStr">
        <is>
          <t>pipe</t>
        </is>
      </c>
      <c r="D12" s="17" t="inlineStr">
        <is>
          <t>Cust / LDC</t>
        </is>
      </c>
      <c r="E12" s="18" t="inlineStr">
        <is>
          <t>dates</t>
        </is>
      </c>
      <c r="F12" s="18" t="n"/>
      <c r="G12" s="16" t="inlineStr">
        <is>
          <t>rec</t>
        </is>
      </c>
      <c r="H12" s="16" t="inlineStr">
        <is>
          <t>del</t>
        </is>
      </c>
      <c r="I12" s="17" t="inlineStr">
        <is>
          <t>Type</t>
        </is>
      </c>
      <c r="J12" s="195" t="inlineStr">
        <is>
          <t>dem</t>
        </is>
      </c>
      <c r="K12" s="17" t="inlineStr">
        <is>
          <t>com</t>
        </is>
      </c>
      <c r="L12" s="17" t="inlineStr">
        <is>
          <t>aca</t>
        </is>
      </c>
      <c r="M12" s="17" t="inlineStr">
        <is>
          <t>gri</t>
        </is>
      </c>
      <c r="N12" s="17" t="inlineStr">
        <is>
          <t>s/c</t>
        </is>
      </c>
      <c r="O12" s="196" t="inlineStr">
        <is>
          <t>fuel %</t>
        </is>
      </c>
      <c r="P12" s="17" t="inlineStr">
        <is>
          <t>total</t>
        </is>
      </c>
      <c r="Q12" s="20" t="inlineStr">
        <is>
          <t>New K#</t>
        </is>
      </c>
      <c r="R12" s="17" t="inlineStr">
        <is>
          <t>vol</t>
        </is>
      </c>
      <c r="S12" s="16" t="inlineStr">
        <is>
          <t>comment</t>
        </is>
      </c>
      <c r="T12" s="21" t="inlineStr">
        <is>
          <t>Est Demand</t>
        </is>
      </c>
      <c r="U12" s="21" t="inlineStr">
        <is>
          <t>Act Demand</t>
        </is>
      </c>
      <c r="V12" s="54" t="inlineStr">
        <is>
          <t>New Sitara</t>
        </is>
      </c>
      <c r="W12" s="59" t="inlineStr">
        <is>
          <t>Questions</t>
        </is>
      </c>
      <c r="X12" s="36" t="n"/>
      <c r="Y12" s="36" t="n"/>
    </row>
    <row r="13" customFormat="1" s="79">
      <c r="B13" s="42" t="inlineStr">
        <is>
          <t>ENA</t>
        </is>
      </c>
      <c r="C13" s="71" t="inlineStr">
        <is>
          <t>CNG</t>
        </is>
      </c>
      <c r="D13" s="71" t="inlineStr">
        <is>
          <t>Atlanta</t>
        </is>
      </c>
      <c r="E13" s="72" t="n">
        <v>36708</v>
      </c>
      <c r="F13" s="72" t="n">
        <v>36738</v>
      </c>
      <c r="G13" s="119" t="n">
        <v>10001</v>
      </c>
      <c r="H13" s="119" t="n">
        <v>10001</v>
      </c>
      <c r="I13" s="71" t="inlineStr">
        <is>
          <t>GSSTE</t>
        </is>
      </c>
      <c r="J13" s="197" t="n">
        <v>0.0137</v>
      </c>
      <c r="K13" s="198" t="n"/>
      <c r="L13" s="198" t="n"/>
      <c r="M13" s="198" t="n"/>
      <c r="N13" s="198" t="n"/>
      <c r="O13" s="199" t="n"/>
      <c r="P13" s="198" t="n"/>
      <c r="Q13" s="76" t="n">
        <v>530696</v>
      </c>
      <c r="R13" s="71" t="n">
        <v>13461</v>
      </c>
      <c r="S13" s="42" t="inlineStr">
        <is>
          <t>#013911</t>
        </is>
      </c>
      <c r="T13" s="77">
        <f>J13*1*R13</f>
        <v/>
      </c>
      <c r="U13" s="77" t="n"/>
      <c r="V13" s="106" t="n">
        <v>310744</v>
      </c>
      <c r="W13" s="42" t="n"/>
      <c r="X13" s="78" t="n"/>
      <c r="Y13" s="78" t="n"/>
    </row>
    <row r="14" customFormat="1" s="79">
      <c r="B14" s="42" t="inlineStr">
        <is>
          <t>ENA</t>
        </is>
      </c>
      <c r="C14" s="71" t="inlineStr">
        <is>
          <t>CNG</t>
        </is>
      </c>
      <c r="D14" s="71" t="inlineStr">
        <is>
          <t>Atlanta</t>
        </is>
      </c>
      <c r="E14" s="72" t="n">
        <v>36708</v>
      </c>
      <c r="F14" s="72" t="n">
        <v>36738</v>
      </c>
      <c r="G14" s="119" t="n">
        <v>10001</v>
      </c>
      <c r="H14" s="119" t="n">
        <v>10001</v>
      </c>
      <c r="I14" s="71" t="inlineStr">
        <is>
          <t>GSSTE</t>
        </is>
      </c>
      <c r="J14" s="197" t="n">
        <v>1.8373</v>
      </c>
      <c r="K14" s="198" t="n"/>
      <c r="L14" s="198" t="n"/>
      <c r="M14" s="198" t="n"/>
      <c r="N14" s="198" t="n"/>
      <c r="O14" s="199" t="n"/>
      <c r="P14" s="198" t="n"/>
      <c r="Q14" s="76" t="n">
        <v>530696</v>
      </c>
      <c r="R14" s="71" t="n">
        <v>220</v>
      </c>
      <c r="S14" s="42" t="inlineStr">
        <is>
          <t>#013911</t>
        </is>
      </c>
      <c r="T14" s="77">
        <f>J14*1*R14</f>
        <v/>
      </c>
      <c r="U14" s="77" t="n"/>
      <c r="V14" s="106" t="n">
        <v>310744</v>
      </c>
      <c r="W14" s="42" t="n"/>
      <c r="X14" s="78" t="n"/>
      <c r="Y14" s="78" t="n"/>
    </row>
    <row r="15">
      <c r="B15" s="10" t="inlineStr">
        <is>
          <t> </t>
        </is>
      </c>
      <c r="C15" s="11" t="inlineStr">
        <is>
          <t> </t>
        </is>
      </c>
      <c r="D15" s="12" t="inlineStr">
        <is>
          <t> </t>
        </is>
      </c>
      <c r="E15" s="13" t="inlineStr">
        <is>
          <t> </t>
        </is>
      </c>
      <c r="F15" s="13" t="n"/>
      <c r="G15" s="10" t="inlineStr">
        <is>
          <t> </t>
        </is>
      </c>
      <c r="H15" s="30" t="inlineStr">
        <is>
          <t> </t>
        </is>
      </c>
      <c r="I15" s="11" t="inlineStr">
        <is>
          <t> </t>
        </is>
      </c>
      <c r="J15" s="200" t="n"/>
      <c r="K15" s="201" t="n"/>
      <c r="L15" s="201" t="n"/>
      <c r="M15" s="201" t="n"/>
      <c r="N15" s="201" t="n"/>
      <c r="O15" s="202" t="n"/>
      <c r="P15" s="201" t="n"/>
      <c r="Q15" s="26" t="inlineStr">
        <is>
          <t> </t>
        </is>
      </c>
      <c r="R15" s="11">
        <f>SUM(#REF!)</f>
        <v/>
      </c>
      <c r="S15" s="10" t="inlineStr">
        <is>
          <t> </t>
        </is>
      </c>
      <c r="T15" s="22">
        <f>SUM(T13:T14)</f>
        <v/>
      </c>
      <c r="U15" s="22">
        <f>SUM(#REF!)</f>
        <v/>
      </c>
      <c r="V15" s="55" t="n"/>
      <c r="W15" s="10" t="n"/>
      <c r="X15" s="36" t="n"/>
      <c r="Y15" s="36" t="n"/>
    </row>
    <row r="16">
      <c r="B16" s="16" t="inlineStr">
        <is>
          <t>buy/sell</t>
        </is>
      </c>
      <c r="C16" s="17" t="inlineStr">
        <is>
          <t>pipe</t>
        </is>
      </c>
      <c r="D16" s="17" t="inlineStr">
        <is>
          <t>customer</t>
        </is>
      </c>
      <c r="E16" s="18" t="inlineStr">
        <is>
          <t>dates</t>
        </is>
      </c>
      <c r="F16" s="18" t="n"/>
      <c r="G16" s="16" t="inlineStr">
        <is>
          <t>rec</t>
        </is>
      </c>
      <c r="H16" s="16" t="inlineStr">
        <is>
          <t>del</t>
        </is>
      </c>
      <c r="I16" s="17" t="inlineStr">
        <is>
          <t>Type</t>
        </is>
      </c>
      <c r="J16" s="195" t="inlineStr">
        <is>
          <t>dem</t>
        </is>
      </c>
      <c r="K16" s="17" t="inlineStr">
        <is>
          <t>com</t>
        </is>
      </c>
      <c r="L16" s="17" t="inlineStr">
        <is>
          <t>aca</t>
        </is>
      </c>
      <c r="M16" s="17" t="inlineStr">
        <is>
          <t>gri</t>
        </is>
      </c>
      <c r="N16" s="17" t="inlineStr">
        <is>
          <t>s/c</t>
        </is>
      </c>
      <c r="O16" s="196" t="inlineStr">
        <is>
          <t>fuel %</t>
        </is>
      </c>
      <c r="P16" s="17" t="inlineStr">
        <is>
          <t>total</t>
        </is>
      </c>
      <c r="Q16" s="20" t="inlineStr">
        <is>
          <t>New K#</t>
        </is>
      </c>
      <c r="R16" s="17" t="inlineStr">
        <is>
          <t>vol</t>
        </is>
      </c>
      <c r="S16" s="16" t="inlineStr">
        <is>
          <t>comment</t>
        </is>
      </c>
      <c r="T16" s="21" t="inlineStr">
        <is>
          <t>Est Demand</t>
        </is>
      </c>
      <c r="U16" s="21" t="inlineStr">
        <is>
          <t>Act Demand</t>
        </is>
      </c>
      <c r="V16" s="54" t="inlineStr">
        <is>
          <t>New Sitara</t>
        </is>
      </c>
      <c r="W16" s="59">
        <f>+W12</f>
        <v/>
      </c>
      <c r="X16" s="36" t="n"/>
      <c r="Y16" s="36" t="n"/>
    </row>
    <row r="17" customFormat="1" s="62">
      <c r="B17" s="58" t="inlineStr">
        <is>
          <t>ENA</t>
        </is>
      </c>
      <c r="C17" s="40" t="inlineStr">
        <is>
          <t>Col Gas</t>
        </is>
      </c>
      <c r="D17" s="40" t="inlineStr">
        <is>
          <t>CES / COH</t>
        </is>
      </c>
      <c r="E17" s="4" t="n">
        <v>36617</v>
      </c>
      <c r="F17" s="4" t="n">
        <v>36830</v>
      </c>
      <c r="G17" s="58" t="inlineStr">
        <is>
          <t>STOW</t>
        </is>
      </c>
      <c r="H17" s="58" t="inlineStr">
        <is>
          <t>MSQ</t>
        </is>
      </c>
      <c r="I17" s="40" t="inlineStr">
        <is>
          <t>FSS</t>
        </is>
      </c>
      <c r="J17" s="193">
        <f>6.238/J1</f>
        <v/>
      </c>
      <c r="K17" s="191" t="n">
        <v>0</v>
      </c>
      <c r="L17" s="191" t="n">
        <v>0</v>
      </c>
      <c r="M17" s="191" t="n">
        <v>0</v>
      </c>
      <c r="N17" s="191" t="n">
        <v>0</v>
      </c>
      <c r="O17" s="192" t="n">
        <v>0</v>
      </c>
      <c r="P17" s="191">
        <f>SUM(J17:N17)</f>
        <v/>
      </c>
      <c r="Q17" s="49" t="n">
        <v>51407</v>
      </c>
      <c r="R17" s="40" t="n">
        <v>73754</v>
      </c>
      <c r="S17" s="58" t="inlineStr">
        <is>
          <t>#24855</t>
        </is>
      </c>
      <c r="T17" s="28" t="n"/>
      <c r="U17" s="28" t="n"/>
      <c r="V17" s="56" t="n">
        <v>156569</v>
      </c>
      <c r="W17" s="58" t="n"/>
      <c r="X17" s="36" t="n"/>
      <c r="Y17" s="36" t="n"/>
    </row>
    <row r="18" customFormat="1" s="62">
      <c r="B18" s="58" t="inlineStr">
        <is>
          <t>ENA</t>
        </is>
      </c>
      <c r="C18" s="40" t="inlineStr">
        <is>
          <t>Col Gas</t>
        </is>
      </c>
      <c r="D18" s="40" t="inlineStr">
        <is>
          <t>CES / COH</t>
        </is>
      </c>
      <c r="E18" s="4" t="n">
        <v>36617</v>
      </c>
      <c r="F18" s="4" t="n">
        <v>36830</v>
      </c>
      <c r="G18" s="58" t="inlineStr">
        <is>
          <t>STOW</t>
        </is>
      </c>
      <c r="H18" s="58" t="inlineStr">
        <is>
          <t>MDWQ</t>
        </is>
      </c>
      <c r="I18" s="40" t="inlineStr">
        <is>
          <t>FSS</t>
        </is>
      </c>
      <c r="J18" s="193">
        <f>1.512/J1</f>
        <v/>
      </c>
      <c r="K18" s="191" t="n">
        <v>0</v>
      </c>
      <c r="L18" s="191" t="n">
        <v>0</v>
      </c>
      <c r="M18" s="191" t="n">
        <v>0</v>
      </c>
      <c r="N18" s="191" t="n">
        <v>0</v>
      </c>
      <c r="O18" s="192" t="n">
        <v>0</v>
      </c>
      <c r="P18" s="191">
        <f>SUM(J18:N18)</f>
        <v/>
      </c>
      <c r="Q18" s="49" t="n">
        <v>51407</v>
      </c>
      <c r="R18" s="40" t="n">
        <v>73754</v>
      </c>
      <c r="S18" s="58" t="inlineStr">
        <is>
          <t>#24855</t>
        </is>
      </c>
      <c r="T18" s="28" t="n"/>
      <c r="U18" s="28" t="n"/>
      <c r="V18" s="56" t="n">
        <v>156569</v>
      </c>
      <c r="W18" s="58" t="n"/>
      <c r="X18" s="36" t="n"/>
      <c r="Y18" s="36" t="n"/>
    </row>
    <row r="19" customFormat="1" s="62">
      <c r="B19" s="58" t="inlineStr">
        <is>
          <t>ENA</t>
        </is>
      </c>
      <c r="C19" s="40" t="inlineStr">
        <is>
          <t>Col Gas</t>
        </is>
      </c>
      <c r="D19" s="40" t="n"/>
      <c r="E19" s="4" t="n">
        <v>36100</v>
      </c>
      <c r="F19" s="4" t="n">
        <v>36830</v>
      </c>
      <c r="G19" s="60" t="inlineStr">
        <is>
          <t>734462 Cygnet</t>
        </is>
      </c>
      <c r="H19" s="58" t="inlineStr">
        <is>
          <t>23N-7 Sandusky</t>
        </is>
      </c>
      <c r="I19" s="40" t="inlineStr">
        <is>
          <t>FTS</t>
        </is>
      </c>
      <c r="J19" s="193">
        <f>4.56/J$1</f>
        <v/>
      </c>
      <c r="K19" s="191" t="n">
        <v>0.0132</v>
      </c>
      <c r="L19" s="191" t="n">
        <v>0.0022</v>
      </c>
      <c r="M19" s="191" t="n">
        <v>0.0072</v>
      </c>
      <c r="N19" s="191" t="n">
        <v>0</v>
      </c>
      <c r="O19" s="192" t="n">
        <v>0.02116</v>
      </c>
      <c r="P19" s="191">
        <f>SUM(J19:N19)</f>
        <v/>
      </c>
      <c r="Q19" s="49" t="n">
        <v>61822</v>
      </c>
      <c r="R19" s="40" t="n">
        <v>4000</v>
      </c>
      <c r="S19" s="58" t="inlineStr">
        <is>
          <t>#22429</t>
        </is>
      </c>
      <c r="T19" s="28">
        <f>J19*J$1*R19</f>
        <v/>
      </c>
      <c r="U19" s="28" t="n"/>
      <c r="V19" s="56" t="n">
        <v>162284</v>
      </c>
      <c r="W19" s="58" t="n"/>
      <c r="X19" s="36" t="n"/>
      <c r="Y19" s="36" t="n"/>
    </row>
    <row r="20" customFormat="1" s="62">
      <c r="B20" s="58" t="inlineStr">
        <is>
          <t>ENA</t>
        </is>
      </c>
      <c r="C20" s="40" t="inlineStr">
        <is>
          <t>Col Gas</t>
        </is>
      </c>
      <c r="D20" s="40" t="inlineStr">
        <is>
          <t>CES</t>
        </is>
      </c>
      <c r="E20" s="4" t="n">
        <v>36526</v>
      </c>
      <c r="F20" s="4" t="n">
        <v>36830</v>
      </c>
      <c r="G20" s="58" t="inlineStr">
        <is>
          <t>[Person_12]</t>
        </is>
      </c>
      <c r="H20" s="58" t="inlineStr">
        <is>
          <t>23N-2 COH 5</t>
        </is>
      </c>
      <c r="I20" s="40" t="inlineStr">
        <is>
          <t>FTS</t>
        </is>
      </c>
      <c r="J20" s="193">
        <f>4.56/J$1</f>
        <v/>
      </c>
      <c r="K20" s="191" t="n">
        <v>0.0132</v>
      </c>
      <c r="L20" s="191" t="n">
        <v>0.0022</v>
      </c>
      <c r="M20" s="191" t="n">
        <v>0.0075</v>
      </c>
      <c r="N20" s="191" t="n">
        <v>0</v>
      </c>
      <c r="O20" s="192" t="n">
        <v>0.02116</v>
      </c>
      <c r="P20" s="191">
        <f>SUM(J20:N20)</f>
        <v/>
      </c>
      <c r="Q20" s="49" t="n">
        <v>61825</v>
      </c>
      <c r="R20" s="40" t="n">
        <v>2000</v>
      </c>
      <c r="S20" s="60" t="inlineStr">
        <is>
          <t>#22428; [Person_13] to Op 5, ROFR</t>
        </is>
      </c>
      <c r="T20" s="28">
        <f>J20*J$1*R20</f>
        <v/>
      </c>
      <c r="U20" s="28" t="n"/>
      <c r="V20" s="56" t="n">
        <v>156570</v>
      </c>
      <c r="W20" s="28" t="n"/>
      <c r="X20" s="36" t="n"/>
      <c r="Y20" s="36" t="n"/>
    </row>
    <row r="21" customFormat="1" s="62">
      <c r="B21" s="58" t="inlineStr">
        <is>
          <t>ENA</t>
        </is>
      </c>
      <c r="C21" s="40" t="inlineStr">
        <is>
          <t>Col Gas</t>
        </is>
      </c>
      <c r="D21" s="40" t="inlineStr">
        <is>
          <t>CES</t>
        </is>
      </c>
      <c r="E21" s="4" t="n">
        <v>36526</v>
      </c>
      <c r="F21" s="4" t="n">
        <v>36830</v>
      </c>
      <c r="G21" s="58" t="inlineStr">
        <is>
          <t>F4 Monclova</t>
        </is>
      </c>
      <c r="H21" s="58" t="inlineStr">
        <is>
          <t>23N-2 COH 5</t>
        </is>
      </c>
      <c r="I21" s="40" t="inlineStr">
        <is>
          <t>FTS</t>
        </is>
      </c>
      <c r="J21" s="193">
        <f>4.56/J$1</f>
        <v/>
      </c>
      <c r="K21" s="191" t="n">
        <v>0.0132</v>
      </c>
      <c r="L21" s="191" t="n">
        <v>0.0022</v>
      </c>
      <c r="M21" s="191" t="n">
        <v>0.0075</v>
      </c>
      <c r="N21" s="191" t="n">
        <v>0</v>
      </c>
      <c r="O21" s="192" t="n">
        <v>0.02116</v>
      </c>
      <c r="P21" s="191">
        <f>SUM(J21:N21)</f>
        <v/>
      </c>
      <c r="Q21" s="49" t="n">
        <v>61825</v>
      </c>
      <c r="R21" s="40" t="n">
        <v>5000</v>
      </c>
      <c r="S21" s="60" t="inlineStr">
        <is>
          <t>#22428; [Person_13] to Op 5, ROFR</t>
        </is>
      </c>
      <c r="T21" s="28">
        <f>J21*J$1*R21</f>
        <v/>
      </c>
      <c r="U21" s="28" t="n"/>
      <c r="V21" s="56" t="n">
        <v>156570</v>
      </c>
      <c r="W21" s="28" t="n"/>
      <c r="X21" s="36" t="n"/>
      <c r="Y21" s="36" t="n"/>
    </row>
    <row r="22" customFormat="1" s="62">
      <c r="B22" s="58" t="inlineStr">
        <is>
          <t>ENA</t>
        </is>
      </c>
      <c r="C22" s="40" t="inlineStr">
        <is>
          <t>Col Gas</t>
        </is>
      </c>
      <c r="D22" s="40" t="inlineStr">
        <is>
          <t>CES</t>
        </is>
      </c>
      <c r="E22" s="4" t="n">
        <v>36526</v>
      </c>
      <c r="F22" s="4" t="n">
        <v>36830</v>
      </c>
      <c r="G22" s="58" t="inlineStr">
        <is>
          <t>734462 Crossroads</t>
        </is>
      </c>
      <c r="H22" s="58" t="inlineStr">
        <is>
          <t>23N-2 COH 5</t>
        </is>
      </c>
      <c r="I22" s="40" t="inlineStr">
        <is>
          <t>FTS</t>
        </is>
      </c>
      <c r="J22" s="193">
        <f>4.56/J$1</f>
        <v/>
      </c>
      <c r="K22" s="191" t="n">
        <v>0.0132</v>
      </c>
      <c r="L22" s="191" t="n">
        <v>0.0022</v>
      </c>
      <c r="M22" s="191" t="n">
        <v>0.0075</v>
      </c>
      <c r="N22" s="191" t="n">
        <v>0</v>
      </c>
      <c r="O22" s="192" t="n">
        <v>0.02116</v>
      </c>
      <c r="P22" s="191">
        <f>SUM(J22:N22)</f>
        <v/>
      </c>
      <c r="Q22" s="49" t="n">
        <v>61825</v>
      </c>
      <c r="R22" s="40" t="n">
        <v>1000</v>
      </c>
      <c r="S22" s="60" t="inlineStr">
        <is>
          <t>#22428; [Person_13] to Op 5, ROFR</t>
        </is>
      </c>
      <c r="T22" s="28">
        <f>J22*J$1*R22</f>
        <v/>
      </c>
      <c r="U22" s="28" t="n"/>
      <c r="V22" s="56" t="n">
        <v>156570</v>
      </c>
      <c r="W22" s="28" t="n"/>
      <c r="X22" s="36" t="n"/>
      <c r="Y22" s="36" t="n"/>
    </row>
    <row r="23" customFormat="1" s="62">
      <c r="B23" s="58" t="inlineStr">
        <is>
          <t>ENA</t>
        </is>
      </c>
      <c r="C23" s="40" t="inlineStr">
        <is>
          <t>Col Gas</t>
        </is>
      </c>
      <c r="D23" s="40" t="n"/>
      <c r="E23" s="4" t="n">
        <v>36100</v>
      </c>
      <c r="F23" s="4" t="n">
        <v>36830</v>
      </c>
      <c r="G23" s="58" t="inlineStr">
        <is>
          <t>[Person_12]</t>
        </is>
      </c>
      <c r="H23" s="60" t="inlineStr">
        <is>
          <t>23-4 COH-07 Alliance</t>
        </is>
      </c>
      <c r="I23" s="40" t="inlineStr">
        <is>
          <t>FTS</t>
        </is>
      </c>
      <c r="J23" s="193">
        <f>4.56/J$1</f>
        <v/>
      </c>
      <c r="K23" s="191" t="n">
        <v>0.0132</v>
      </c>
      <c r="L23" s="191" t="n">
        <v>0.0022</v>
      </c>
      <c r="M23" s="191" t="n">
        <v>0.0072</v>
      </c>
      <c r="N23" s="191" t="n">
        <v>0</v>
      </c>
      <c r="O23" s="192" t="n">
        <v>0.02116</v>
      </c>
      <c r="P23" s="191">
        <f>SUM(J23:N23)</f>
        <v/>
      </c>
      <c r="Q23" s="49" t="n">
        <v>61838</v>
      </c>
      <c r="R23" s="40" t="n">
        <v>1000</v>
      </c>
      <c r="S23" s="58" t="inlineStr">
        <is>
          <t>#22422</t>
        </is>
      </c>
      <c r="T23" s="28">
        <f>J23*J$1*R23</f>
        <v/>
      </c>
      <c r="U23" s="28" t="n"/>
      <c r="V23" s="56" t="n">
        <v>156571</v>
      </c>
      <c r="W23" s="58" t="n"/>
      <c r="X23" s="36" t="n"/>
      <c r="Y23" s="36" t="n"/>
    </row>
    <row r="24" customFormat="1" s="62">
      <c r="B24" s="58" t="inlineStr">
        <is>
          <t>ENA</t>
        </is>
      </c>
      <c r="C24" s="40" t="inlineStr">
        <is>
          <t>Col Gas</t>
        </is>
      </c>
      <c r="D24" s="40" t="inlineStr">
        <is>
          <t>CES</t>
        </is>
      </c>
      <c r="E24" s="4" t="n">
        <v>36526</v>
      </c>
      <c r="F24" s="4" t="n">
        <v>36830</v>
      </c>
      <c r="G24" s="58" t="inlineStr">
        <is>
          <t>[Person_12]</t>
        </is>
      </c>
      <c r="H24" s="58" t="inlineStr">
        <is>
          <t>23-4 COH-07-4</t>
        </is>
      </c>
      <c r="I24" s="40" t="inlineStr">
        <is>
          <t>FTS</t>
        </is>
      </c>
      <c r="J24" s="193">
        <f>4.56/J$1</f>
        <v/>
      </c>
      <c r="K24" s="191" t="n">
        <v>0.0132</v>
      </c>
      <c r="L24" s="191" t="n">
        <v>0.0022</v>
      </c>
      <c r="M24" s="191" t="n">
        <v>0.0075</v>
      </c>
      <c r="N24" s="191" t="n">
        <v>0</v>
      </c>
      <c r="O24" s="192" t="n">
        <v>0.02116</v>
      </c>
      <c r="P24" s="191">
        <f>SUM(J24:N24)</f>
        <v/>
      </c>
      <c r="Q24" s="49" t="n">
        <v>61990</v>
      </c>
      <c r="R24" s="40" t="n">
        <v>2000</v>
      </c>
      <c r="S24" s="60" t="inlineStr">
        <is>
          <t>#22747; [Person_13] to contrained Op 7, ROFR</t>
        </is>
      </c>
      <c r="T24" s="28">
        <f>J24*J$1*R24</f>
        <v/>
      </c>
      <c r="U24" s="28" t="n"/>
      <c r="V24" s="56" t="n">
        <v>156573</v>
      </c>
      <c r="W24" s="28" t="n"/>
      <c r="X24" s="36" t="n"/>
      <c r="Y24" s="36" t="n"/>
    </row>
    <row r="25" customFormat="1" s="62">
      <c r="B25" s="58" t="inlineStr">
        <is>
          <t>ENA</t>
        </is>
      </c>
      <c r="C25" s="40" t="inlineStr">
        <is>
          <t>Col Gas</t>
        </is>
      </c>
      <c r="D25" s="40" t="inlineStr">
        <is>
          <t>CES</t>
        </is>
      </c>
      <c r="E25" s="4" t="n">
        <v>36465</v>
      </c>
      <c r="F25" s="4" t="n">
        <v>36891</v>
      </c>
      <c r="G25" s="58" t="n"/>
      <c r="H25" s="58" t="inlineStr">
        <is>
          <t>Coh 7-9</t>
        </is>
      </c>
      <c r="I25" s="40" t="inlineStr">
        <is>
          <t>FTS</t>
        </is>
      </c>
      <c r="J25" s="193">
        <f>3.0417/30.417</f>
        <v/>
      </c>
      <c r="K25" s="191" t="n">
        <v>0.0132</v>
      </c>
      <c r="L25" s="191" t="n">
        <v>0.0022</v>
      </c>
      <c r="M25" s="191" t="n">
        <v>0.0075</v>
      </c>
      <c r="N25" s="191" t="n">
        <v>0</v>
      </c>
      <c r="O25" s="192" t="n">
        <v>0.02116</v>
      </c>
      <c r="P25" s="191">
        <f>SUM(J25:N25)</f>
        <v/>
      </c>
      <c r="Q25" s="49" t="n">
        <v>62164</v>
      </c>
      <c r="R25" s="115" t="n">
        <v>2000</v>
      </c>
      <c r="S25" s="60" t="inlineStr">
        <is>
          <t>#23652</t>
        </is>
      </c>
      <c r="T25" s="28">
        <f>J25*J$1*R25</f>
        <v/>
      </c>
      <c r="U25" s="56" t="n"/>
      <c r="V25" s="36" t="inlineStr">
        <is>
          <t>Just added to march</t>
        </is>
      </c>
      <c r="W25" s="36" t="n"/>
    </row>
    <row r="26" customFormat="1" s="62">
      <c r="B26" s="58" t="inlineStr">
        <is>
          <t>ENA</t>
        </is>
      </c>
      <c r="C26" s="40" t="inlineStr">
        <is>
          <t>Col Gas</t>
        </is>
      </c>
      <c r="D26" s="40" t="inlineStr">
        <is>
          <t>CES / COH</t>
        </is>
      </c>
      <c r="E26" s="4" t="n">
        <v>36617</v>
      </c>
      <c r="F26" s="4" t="n">
        <v>36799</v>
      </c>
      <c r="G26" s="58" t="inlineStr">
        <is>
          <t>STOW</t>
        </is>
      </c>
      <c r="H26" s="58" t="inlineStr">
        <is>
          <t>COH-03, COH-07, COH-05, COH-08</t>
        </is>
      </c>
      <c r="I26" s="40" t="inlineStr">
        <is>
          <t>SST</t>
        </is>
      </c>
      <c r="J26" s="193">
        <f>6.029/J$1</f>
        <v/>
      </c>
      <c r="K26" s="191" t="n">
        <v>0.013</v>
      </c>
      <c r="L26" s="191" t="n">
        <v>0.0022</v>
      </c>
      <c r="M26" s="191" t="n">
        <v>0.0072</v>
      </c>
      <c r="N26" s="191" t="n">
        <v>0</v>
      </c>
      <c r="O26" s="192" t="n">
        <v>0.02116</v>
      </c>
      <c r="P26" s="191">
        <f>SUM(J26:N26)</f>
        <v/>
      </c>
      <c r="Q26" s="49" t="n">
        <v>67693</v>
      </c>
      <c r="R26" s="40" t="n">
        <v>54327</v>
      </c>
      <c r="S26" s="58" t="inlineStr">
        <is>
          <t>#23890</t>
        </is>
      </c>
      <c r="T26" s="28">
        <f>J26*J$1*R26</f>
        <v/>
      </c>
      <c r="U26" s="28" t="n"/>
      <c r="V26" s="56" t="n">
        <v>231378</v>
      </c>
      <c r="W26" s="58" t="n"/>
      <c r="X26" s="36" t="n"/>
      <c r="Y26" s="36" t="n"/>
    </row>
    <row r="27" customFormat="1" s="62">
      <c r="B27" s="58" t="inlineStr">
        <is>
          <t>ENA</t>
        </is>
      </c>
      <c r="C27" s="40" t="inlineStr">
        <is>
          <t>Col Gas</t>
        </is>
      </c>
      <c r="D27" s="40" t="inlineStr">
        <is>
          <t>CES / COH</t>
        </is>
      </c>
      <c r="E27" s="4" t="n">
        <v>36617</v>
      </c>
      <c r="F27" s="4" t="n">
        <v>36981</v>
      </c>
      <c r="G27" s="58" t="inlineStr">
        <is>
          <t>STOW</t>
        </is>
      </c>
      <c r="H27" s="58" t="inlineStr">
        <is>
          <t>MSQ</t>
        </is>
      </c>
      <c r="I27" s="40" t="inlineStr">
        <is>
          <t>FSS</t>
        </is>
      </c>
      <c r="J27" s="193" t="n">
        <v>0.0293</v>
      </c>
      <c r="K27" s="191" t="n">
        <v>0</v>
      </c>
      <c r="L27" s="191" t="n">
        <v>0</v>
      </c>
      <c r="M27" s="191" t="n">
        <v>0</v>
      </c>
      <c r="N27" s="191" t="n">
        <v>0</v>
      </c>
      <c r="O27" s="192" t="n">
        <v>0</v>
      </c>
      <c r="P27" s="191">
        <f>SUM(J27:N27)</f>
        <v/>
      </c>
      <c r="Q27" s="49" t="n">
        <v>67712</v>
      </c>
      <c r="R27" s="40" t="n">
        <v>6050607</v>
      </c>
      <c r="S27" s="58" t="inlineStr">
        <is>
          <t>#28389, Sheet No 29</t>
        </is>
      </c>
      <c r="T27" s="28">
        <f>J27*R27</f>
        <v/>
      </c>
      <c r="U27" s="28" t="n"/>
      <c r="V27" s="56" t="n">
        <v>235876</v>
      </c>
      <c r="W27" s="58" t="n">
        <v>231698</v>
      </c>
      <c r="X27" s="36" t="n"/>
      <c r="Y27" s="36" t="n"/>
    </row>
    <row r="28" customFormat="1" s="62">
      <c r="B28" s="58" t="inlineStr">
        <is>
          <t>ENA</t>
        </is>
      </c>
      <c r="C28" s="40" t="inlineStr">
        <is>
          <t>Col Gas</t>
        </is>
      </c>
      <c r="D28" s="40" t="inlineStr">
        <is>
          <t>CES / COH</t>
        </is>
      </c>
      <c r="E28" s="4" t="n">
        <v>36617</v>
      </c>
      <c r="F28" s="4" t="n">
        <v>36981</v>
      </c>
      <c r="G28" s="58" t="inlineStr">
        <is>
          <t>STOW</t>
        </is>
      </c>
      <c r="H28" s="58" t="inlineStr">
        <is>
          <t>MDWQ</t>
        </is>
      </c>
      <c r="I28" s="40" t="inlineStr">
        <is>
          <t>FSS</t>
        </is>
      </c>
      <c r="J28" s="193" t="n">
        <v>1.524</v>
      </c>
      <c r="K28" s="191" t="n">
        <v>0</v>
      </c>
      <c r="L28" s="191" t="n">
        <v>0</v>
      </c>
      <c r="M28" s="191" t="n">
        <v>0</v>
      </c>
      <c r="N28" s="191" t="n">
        <v>0</v>
      </c>
      <c r="O28" s="192" t="n">
        <v>0</v>
      </c>
      <c r="P28" s="191">
        <f>SUM(J28:N28)</f>
        <v/>
      </c>
      <c r="Q28" s="49" t="n">
        <v>67712</v>
      </c>
      <c r="R28" s="40" t="n">
        <v>108648</v>
      </c>
      <c r="S28" s="58" t="inlineStr">
        <is>
          <t>#28389, Sheet No 29</t>
        </is>
      </c>
      <c r="T28" s="28">
        <f>J28*R28</f>
        <v/>
      </c>
      <c r="U28" s="28" t="n"/>
      <c r="V28" s="56" t="n">
        <v>235876</v>
      </c>
      <c r="W28" s="58" t="n">
        <v>231698</v>
      </c>
      <c r="X28" s="36" t="n"/>
      <c r="Y28" s="36" t="n"/>
    </row>
    <row r="29" customFormat="1" s="62">
      <c r="B29" s="58" t="inlineStr">
        <is>
          <t>ENA</t>
        </is>
      </c>
      <c r="C29" s="40" t="inlineStr">
        <is>
          <t>Col Gas</t>
        </is>
      </c>
      <c r="D29" s="40" t="inlineStr">
        <is>
          <t>CES / COH</t>
        </is>
      </c>
      <c r="E29" s="4" t="n">
        <v>36617</v>
      </c>
      <c r="F29" s="4" t="n">
        <v>36981</v>
      </c>
      <c r="G29" s="58" t="inlineStr">
        <is>
          <t>STOW</t>
        </is>
      </c>
      <c r="H29" s="58" t="inlineStr">
        <is>
          <t>MSQ</t>
        </is>
      </c>
      <c r="I29" s="40" t="inlineStr">
        <is>
          <t>FSS</t>
        </is>
      </c>
      <c r="J29" s="193" t="n">
        <v>0</v>
      </c>
      <c r="K29" s="191" t="n">
        <v>0</v>
      </c>
      <c r="L29" s="191" t="n">
        <v>0</v>
      </c>
      <c r="M29" s="191" t="n">
        <v>0</v>
      </c>
      <c r="N29" s="191" t="n">
        <v>0</v>
      </c>
      <c r="O29" s="192" t="n">
        <v>0</v>
      </c>
      <c r="P29" s="191">
        <f>SUM(J29:N29)</f>
        <v/>
      </c>
      <c r="Q29" s="49" t="n">
        <v>67713</v>
      </c>
      <c r="R29" s="40" t="n">
        <v>0</v>
      </c>
      <c r="S29" s="58" t="inlineStr">
        <is>
          <t>Use to schedule inj and with, billed commodity only.</t>
        </is>
      </c>
      <c r="T29" s="28">
        <f>J29*R29</f>
        <v/>
      </c>
      <c r="U29" s="28" t="n"/>
      <c r="V29" s="56" t="n">
        <v>235876</v>
      </c>
      <c r="W29" s="58" t="n"/>
      <c r="X29" s="36" t="n"/>
      <c r="Y29" s="36" t="n"/>
    </row>
    <row r="30" customFormat="1" s="62">
      <c r="B30" s="58" t="inlineStr">
        <is>
          <t>ENA</t>
        </is>
      </c>
      <c r="C30" s="40" t="inlineStr">
        <is>
          <t>Col Gas</t>
        </is>
      </c>
      <c r="D30" s="40" t="inlineStr">
        <is>
          <t>CES / COH</t>
        </is>
      </c>
      <c r="E30" s="4" t="n">
        <v>36617</v>
      </c>
      <c r="F30" s="4" t="n">
        <v>36981</v>
      </c>
      <c r="G30" s="58" t="inlineStr">
        <is>
          <t>STOW</t>
        </is>
      </c>
      <c r="H30" s="58" t="inlineStr">
        <is>
          <t>MDWQ</t>
        </is>
      </c>
      <c r="I30" s="40" t="inlineStr">
        <is>
          <t>FSS</t>
        </is>
      </c>
      <c r="J30" s="193" t="n">
        <v>0</v>
      </c>
      <c r="K30" s="191" t="n">
        <v>0</v>
      </c>
      <c r="L30" s="191" t="n">
        <v>0</v>
      </c>
      <c r="M30" s="191" t="n">
        <v>0</v>
      </c>
      <c r="N30" s="191" t="n">
        <v>0</v>
      </c>
      <c r="O30" s="192" t="n">
        <v>0</v>
      </c>
      <c r="P30" s="191">
        <f>SUM(J30:N30)</f>
        <v/>
      </c>
      <c r="Q30" s="49" t="n">
        <v>67713</v>
      </c>
      <c r="R30" s="40" t="n">
        <v>0</v>
      </c>
      <c r="S30" s="58" t="inlineStr">
        <is>
          <t>Use to schedule inj and with, billed commodity only.</t>
        </is>
      </c>
      <c r="T30" s="28">
        <f>J30*R30</f>
        <v/>
      </c>
      <c r="U30" s="28" t="n"/>
      <c r="V30" s="56" t="n">
        <v>235876</v>
      </c>
      <c r="W30" s="58" t="n"/>
      <c r="X30" s="36" t="n"/>
      <c r="Y30" s="36" t="n"/>
    </row>
    <row r="31" customFormat="1" s="62">
      <c r="B31" s="58" t="inlineStr">
        <is>
          <t>ENA</t>
        </is>
      </c>
      <c r="C31" s="40" t="inlineStr">
        <is>
          <t>Col Gas</t>
        </is>
      </c>
      <c r="D31" s="40" t="inlineStr">
        <is>
          <t>CES / CVA</t>
        </is>
      </c>
      <c r="E31" s="4" t="n">
        <v>36678</v>
      </c>
      <c r="F31" s="4" t="n">
        <v>37042</v>
      </c>
      <c r="G31" s="58" t="inlineStr">
        <is>
          <t>801 - Leach</t>
        </is>
      </c>
      <c r="H31" s="58" t="inlineStr">
        <is>
          <t>CGV-30</t>
        </is>
      </c>
      <c r="I31" s="40" t="inlineStr">
        <is>
          <t>FTS</t>
        </is>
      </c>
      <c r="J31" s="193">
        <f>6.401/J$1</f>
        <v/>
      </c>
      <c r="K31" s="191" t="n">
        <v>0.0132</v>
      </c>
      <c r="L31" s="191" t="n">
        <v>0.0022</v>
      </c>
      <c r="M31" s="191" t="n">
        <v>0.0072</v>
      </c>
      <c r="N31" s="191" t="n">
        <v>0</v>
      </c>
      <c r="O31" s="192" t="n">
        <v>0.02116</v>
      </c>
      <c r="P31" s="191">
        <f>SUM(J31:N31)</f>
        <v/>
      </c>
      <c r="Q31" s="49" t="n">
        <v>68359</v>
      </c>
      <c r="R31" s="40" t="n">
        <v>285</v>
      </c>
      <c r="S31" s="58" t="inlineStr">
        <is>
          <t>#28933</t>
        </is>
      </c>
      <c r="T31" s="28">
        <f>J31*J$1*R31</f>
        <v/>
      </c>
      <c r="U31" s="28" t="n"/>
      <c r="V31" s="56" t="n">
        <v>271307</v>
      </c>
      <c r="W31" s="58" t="n"/>
      <c r="X31" s="36" t="n"/>
      <c r="Y31" s="36" t="n"/>
    </row>
    <row r="32" customFormat="1" s="62">
      <c r="B32" s="58" t="inlineStr">
        <is>
          <t>ENA</t>
        </is>
      </c>
      <c r="C32" s="40" t="inlineStr">
        <is>
          <t>Col Gas</t>
        </is>
      </c>
      <c r="D32" s="40" t="inlineStr">
        <is>
          <t>CES / CMD</t>
        </is>
      </c>
      <c r="E32" s="4" t="n">
        <v>36678</v>
      </c>
      <c r="F32" s="4" t="n">
        <v>37042</v>
      </c>
      <c r="G32" s="58" t="inlineStr">
        <is>
          <t>801 - Leach</t>
        </is>
      </c>
      <c r="H32" s="58" t="inlineStr">
        <is>
          <t>CMD-08, CMD-04</t>
        </is>
      </c>
      <c r="I32" s="40" t="inlineStr">
        <is>
          <t>FTS</t>
        </is>
      </c>
      <c r="J32" s="193">
        <f>6.401/J$1</f>
        <v/>
      </c>
      <c r="K32" s="191" t="n">
        <v>0.0132</v>
      </c>
      <c r="L32" s="191" t="n">
        <v>0.0022</v>
      </c>
      <c r="M32" s="191" t="n">
        <v>0.0072</v>
      </c>
      <c r="N32" s="191" t="n">
        <v>0</v>
      </c>
      <c r="O32" s="192" t="n">
        <v>0.02116</v>
      </c>
      <c r="P32" s="191">
        <f>SUM(J32:N32)</f>
        <v/>
      </c>
      <c r="Q32" s="49" t="n">
        <v>68384</v>
      </c>
      <c r="R32" s="40" t="n">
        <v>218</v>
      </c>
      <c r="S32" s="58" t="inlineStr">
        <is>
          <t>#28962</t>
        </is>
      </c>
      <c r="T32" s="28">
        <f>J32*J$1*R32</f>
        <v/>
      </c>
      <c r="U32" s="28" t="n"/>
      <c r="V32" s="56" t="n">
        <v>280570</v>
      </c>
      <c r="W32" s="58" t="n"/>
      <c r="X32" s="36" t="n"/>
      <c r="Y32" s="36" t="n"/>
    </row>
    <row r="33" customFormat="1" s="79">
      <c r="B33" s="42" t="inlineStr">
        <is>
          <t>ENA</t>
        </is>
      </c>
      <c r="C33" s="71" t="inlineStr">
        <is>
          <t>Col Gas</t>
        </is>
      </c>
      <c r="D33" s="71" t="inlineStr">
        <is>
          <t>CES / CVA</t>
        </is>
      </c>
      <c r="E33" s="72" t="n">
        <v>36708</v>
      </c>
      <c r="F33" s="72" t="n">
        <v>37072</v>
      </c>
      <c r="G33" s="42" t="inlineStr">
        <is>
          <t>801 - Leach</t>
        </is>
      </c>
      <c r="H33" s="42" t="inlineStr">
        <is>
          <t>CGV-30</t>
        </is>
      </c>
      <c r="I33" s="71" t="inlineStr">
        <is>
          <t>FTS</t>
        </is>
      </c>
      <c r="J33" s="197">
        <f>6.449/J$1</f>
        <v/>
      </c>
      <c r="K33" s="198" t="n">
        <v>0.0132</v>
      </c>
      <c r="L33" s="198" t="n">
        <v>0.0022</v>
      </c>
      <c r="M33" s="198" t="n">
        <v>0.0072</v>
      </c>
      <c r="N33" s="198" t="n">
        <v>0</v>
      </c>
      <c r="O33" s="199" t="n">
        <v>0.02116</v>
      </c>
      <c r="P33" s="198">
        <f>SUM(J33:N33)</f>
        <v/>
      </c>
      <c r="Q33" s="76" t="n">
        <v>68616</v>
      </c>
      <c r="R33" s="71" t="n">
        <v>900</v>
      </c>
      <c r="S33" s="42" t="inlineStr">
        <is>
          <t>#29281</t>
        </is>
      </c>
      <c r="T33" s="77">
        <f>J33*J$1*R33</f>
        <v/>
      </c>
      <c r="U33" s="77" t="n"/>
      <c r="V33" s="106" t="n">
        <v>309723</v>
      </c>
      <c r="W33" s="42" t="inlineStr">
        <is>
          <t>Original Parcel #68613</t>
        </is>
      </c>
      <c r="X33" s="78" t="n"/>
      <c r="Y33" s="78" t="n"/>
    </row>
    <row r="34" customFormat="1" s="79">
      <c r="B34" s="42" t="inlineStr">
        <is>
          <t>ENA</t>
        </is>
      </c>
      <c r="C34" s="71" t="inlineStr">
        <is>
          <t>Col Gas</t>
        </is>
      </c>
      <c r="D34" s="71" t="inlineStr">
        <is>
          <t>CES / CMD</t>
        </is>
      </c>
      <c r="E34" s="72" t="n">
        <v>36708</v>
      </c>
      <c r="F34" s="72" t="n">
        <v>37072</v>
      </c>
      <c r="G34" s="42" t="inlineStr">
        <is>
          <t>801 - Leach</t>
        </is>
      </c>
      <c r="H34" s="42" t="inlineStr">
        <is>
          <t>CMD-08</t>
        </is>
      </c>
      <c r="I34" s="71" t="inlineStr">
        <is>
          <t>FTS</t>
        </is>
      </c>
      <c r="J34" s="197">
        <f>6.449/J$1</f>
        <v/>
      </c>
      <c r="K34" s="198" t="n">
        <v>0.0132</v>
      </c>
      <c r="L34" s="198" t="n">
        <v>0.0022</v>
      </c>
      <c r="M34" s="198" t="n">
        <v>0.0072</v>
      </c>
      <c r="N34" s="198" t="n">
        <v>0</v>
      </c>
      <c r="O34" s="199" t="n">
        <v>0.02116</v>
      </c>
      <c r="P34" s="198">
        <f>SUM(J34:N34)</f>
        <v/>
      </c>
      <c r="Q34" s="76" t="n">
        <v>68635</v>
      </c>
      <c r="R34" s="71" t="n">
        <v>1</v>
      </c>
      <c r="S34" s="42" t="inlineStr">
        <is>
          <t>#29291</t>
        </is>
      </c>
      <c r="T34" s="77">
        <f>J34*J$1*R34</f>
        <v/>
      </c>
      <c r="U34" s="77" t="n"/>
      <c r="V34" s="106" t="n">
        <v>312333</v>
      </c>
      <c r="W34" s="42" t="n"/>
      <c r="X34" s="78" t="n"/>
      <c r="Y34" s="78" t="n"/>
    </row>
    <row r="35" customFormat="1" s="62">
      <c r="B35" s="58" t="inlineStr">
        <is>
          <t>ENA</t>
        </is>
      </c>
      <c r="C35" s="40" t="inlineStr">
        <is>
          <t>Col Gas</t>
        </is>
      </c>
      <c r="D35" s="40" t="inlineStr">
        <is>
          <t>CES / CVA</t>
        </is>
      </c>
      <c r="E35" s="4" t="n">
        <v>36373</v>
      </c>
      <c r="F35" s="4" t="n">
        <v>36738</v>
      </c>
      <c r="G35" s="58" t="inlineStr">
        <is>
          <t>801 - Leach</t>
        </is>
      </c>
      <c r="H35" s="58" t="inlineStr">
        <is>
          <t>CGV-30</t>
        </is>
      </c>
      <c r="I35" s="40" t="inlineStr">
        <is>
          <t>FTS</t>
        </is>
      </c>
      <c r="J35" s="193">
        <f>6.449/J$1</f>
        <v/>
      </c>
      <c r="K35" s="191" t="n">
        <v>0.0132</v>
      </c>
      <c r="L35" s="191" t="n">
        <v>0.0022</v>
      </c>
      <c r="M35" s="191" t="n">
        <v>0.0072</v>
      </c>
      <c r="N35" s="191" t="n">
        <v>0</v>
      </c>
      <c r="O35" s="192" t="n">
        <v>0.02116</v>
      </c>
      <c r="P35" s="191">
        <f>SUM(J35:N35)</f>
        <v/>
      </c>
      <c r="Q35" s="49" t="n">
        <v>64328</v>
      </c>
      <c r="R35" s="40" t="n">
        <v>51</v>
      </c>
      <c r="S35" s="58" t="inlineStr">
        <is>
          <t>#25955</t>
        </is>
      </c>
      <c r="T35" s="28">
        <f>J35*J$1*R35</f>
        <v/>
      </c>
      <c r="U35" s="28" t="n"/>
      <c r="V35" s="56" t="n">
        <v>156588</v>
      </c>
      <c r="W35" s="58" t="n"/>
      <c r="X35" s="36" t="n"/>
      <c r="Y35" s="36" t="n"/>
    </row>
    <row r="36" customFormat="1" s="62">
      <c r="B36" s="58" t="inlineStr">
        <is>
          <t>ENA</t>
        </is>
      </c>
      <c r="C36" s="40" t="inlineStr">
        <is>
          <t>Col Gas</t>
        </is>
      </c>
      <c r="D36" s="40" t="inlineStr">
        <is>
          <t>CES / CMD</t>
        </is>
      </c>
      <c r="E36" s="4" t="n">
        <v>36373</v>
      </c>
      <c r="F36" s="4" t="n">
        <v>36738</v>
      </c>
      <c r="G36" s="58" t="inlineStr">
        <is>
          <t>801 - Leach</t>
        </is>
      </c>
      <c r="H36" s="58" t="inlineStr">
        <is>
          <t>CMD-08, CMD-04</t>
        </is>
      </c>
      <c r="I36" s="40" t="inlineStr">
        <is>
          <t>FTS</t>
        </is>
      </c>
      <c r="J36" s="193">
        <f>6.449/J$1</f>
        <v/>
      </c>
      <c r="K36" s="191" t="n">
        <v>0.0132</v>
      </c>
      <c r="L36" s="191" t="n">
        <v>0.0022</v>
      </c>
      <c r="M36" s="191" t="n">
        <v>0.0072</v>
      </c>
      <c r="N36" s="191" t="n">
        <v>0</v>
      </c>
      <c r="O36" s="192" t="n">
        <v>0.02116</v>
      </c>
      <c r="P36" s="191">
        <f>SUM(J36:N36)</f>
        <v/>
      </c>
      <c r="Q36" s="49" t="n">
        <v>64329</v>
      </c>
      <c r="R36" s="40" t="n">
        <v>12</v>
      </c>
      <c r="S36" s="58" t="inlineStr">
        <is>
          <t>#25965</t>
        </is>
      </c>
      <c r="T36" s="28">
        <f>J36*J$1*R36</f>
        <v/>
      </c>
      <c r="U36" s="28" t="n"/>
      <c r="V36" s="56" t="n">
        <v>156590</v>
      </c>
      <c r="W36" s="58" t="n"/>
      <c r="X36" s="36" t="n"/>
      <c r="Y36" s="36" t="n"/>
    </row>
    <row r="37" customFormat="1" s="62">
      <c r="B37" s="58" t="inlineStr">
        <is>
          <t>ENA</t>
        </is>
      </c>
      <c r="C37" s="40" t="inlineStr">
        <is>
          <t>Col Gas</t>
        </is>
      </c>
      <c r="D37" s="40" t="inlineStr">
        <is>
          <t>CES / CMD</t>
        </is>
      </c>
      <c r="E37" s="4" t="n">
        <v>36404</v>
      </c>
      <c r="F37" s="4" t="n">
        <v>36769</v>
      </c>
      <c r="G37" s="58" t="inlineStr">
        <is>
          <t>801 - Leach</t>
        </is>
      </c>
      <c r="H37" s="58" t="inlineStr">
        <is>
          <t>CMD-08, CMD-04</t>
        </is>
      </c>
      <c r="I37" s="40" t="inlineStr">
        <is>
          <t>FTS</t>
        </is>
      </c>
      <c r="J37" s="193">
        <f>6.449/J$1</f>
        <v/>
      </c>
      <c r="K37" s="191" t="n">
        <v>0.0132</v>
      </c>
      <c r="L37" s="191" t="n">
        <v>0.0022</v>
      </c>
      <c r="M37" s="191" t="n">
        <v>0.0072</v>
      </c>
      <c r="N37" s="191" t="n">
        <v>0</v>
      </c>
      <c r="O37" s="192" t="n">
        <v>0.02116</v>
      </c>
      <c r="P37" s="191">
        <f>SUM(J37:N37)</f>
        <v/>
      </c>
      <c r="Q37" s="49" t="n">
        <v>64651</v>
      </c>
      <c r="R37" s="40" t="n">
        <v>64</v>
      </c>
      <c r="S37" s="58" t="inlineStr">
        <is>
          <t>#26150</t>
        </is>
      </c>
      <c r="T37" s="28">
        <f>J37*J$1*R37</f>
        <v/>
      </c>
      <c r="U37" s="28" t="n"/>
      <c r="V37" s="56" t="n">
        <v>156591</v>
      </c>
      <c r="W37" s="58" t="n"/>
      <c r="X37" s="36" t="n"/>
      <c r="Y37" s="36" t="n"/>
    </row>
    <row r="38" customFormat="1" s="62">
      <c r="B38" s="58" t="inlineStr">
        <is>
          <t>ENA</t>
        </is>
      </c>
      <c r="C38" s="40" t="inlineStr">
        <is>
          <t>Col Gas</t>
        </is>
      </c>
      <c r="D38" s="40" t="inlineStr">
        <is>
          <t>CES / CMD</t>
        </is>
      </c>
      <c r="E38" s="4" t="n">
        <v>36434</v>
      </c>
      <c r="F38" s="4" t="n">
        <v>36799</v>
      </c>
      <c r="G38" s="58" t="inlineStr">
        <is>
          <t>801 - Leach</t>
        </is>
      </c>
      <c r="H38" s="58" t="inlineStr">
        <is>
          <t>CMD-08</t>
        </is>
      </c>
      <c r="I38" s="40" t="inlineStr">
        <is>
          <t>FTS</t>
        </is>
      </c>
      <c r="J38" s="193">
        <f>6.449/J$1</f>
        <v/>
      </c>
      <c r="K38" s="191" t="n">
        <v>0.0132</v>
      </c>
      <c r="L38" s="191" t="n">
        <v>0.0022</v>
      </c>
      <c r="M38" s="191" t="n">
        <v>0.0072</v>
      </c>
      <c r="N38" s="191" t="n">
        <v>0</v>
      </c>
      <c r="O38" s="192" t="n">
        <v>0.02116</v>
      </c>
      <c r="P38" s="191">
        <f>SUM(J38:N38)</f>
        <v/>
      </c>
      <c r="Q38" s="49" t="n">
        <v>64862</v>
      </c>
      <c r="R38" s="40" t="n">
        <v>13</v>
      </c>
      <c r="S38" s="58" t="inlineStr">
        <is>
          <t>#26503</t>
        </is>
      </c>
      <c r="T38" s="28">
        <f>J38*J$1*R38</f>
        <v/>
      </c>
      <c r="U38" s="28" t="n"/>
      <c r="V38" s="56" t="n">
        <v>156592</v>
      </c>
      <c r="W38" s="58" t="n"/>
      <c r="X38" s="36" t="n"/>
      <c r="Y38" s="36" t="n"/>
    </row>
    <row r="39" customFormat="1" s="134">
      <c r="B39" s="123" t="inlineStr">
        <is>
          <t>ENA</t>
        </is>
      </c>
      <c r="C39" s="137" t="inlineStr">
        <is>
          <t>Col Gas</t>
        </is>
      </c>
      <c r="D39" s="137" t="inlineStr">
        <is>
          <t>CES / COH</t>
        </is>
      </c>
      <c r="E39" s="125" t="n">
        <v>36434</v>
      </c>
      <c r="F39" s="125" t="n">
        <v>36799</v>
      </c>
      <c r="G39" s="123" t="inlineStr">
        <is>
          <t>801 - Leach</t>
        </is>
      </c>
      <c r="H39" s="123" t="inlineStr">
        <is>
          <t>COH-08</t>
        </is>
      </c>
      <c r="I39" s="137" t="inlineStr">
        <is>
          <t>FTS</t>
        </is>
      </c>
      <c r="J39" s="203">
        <f>6.372/J$1</f>
        <v/>
      </c>
      <c r="K39" s="204" t="n">
        <v>0.0132</v>
      </c>
      <c r="L39" s="204" t="n">
        <v>0.0022</v>
      </c>
      <c r="M39" s="204" t="n">
        <v>0.0072</v>
      </c>
      <c r="N39" s="204" t="n">
        <v>0</v>
      </c>
      <c r="O39" s="205" t="n">
        <v>0.02116</v>
      </c>
      <c r="P39" s="204">
        <f>SUM(J39:N39)</f>
        <v/>
      </c>
      <c r="Q39" s="130" t="n">
        <v>64939</v>
      </c>
      <c r="R39" s="137" t="n">
        <v>2300</v>
      </c>
      <c r="S39" s="123" t="inlineStr">
        <is>
          <t>#26577</t>
        </is>
      </c>
      <c r="T39" s="131">
        <f>J39*J$1*R39</f>
        <v/>
      </c>
      <c r="U39" s="131" t="n"/>
      <c r="V39" s="132" t="n">
        <v>156593</v>
      </c>
      <c r="W39" s="123" t="n"/>
      <c r="X39" s="133" t="n"/>
      <c r="Y39" s="133" t="n"/>
    </row>
    <row r="40" customFormat="1" s="134">
      <c r="B40" s="123" t="inlineStr">
        <is>
          <t>ENA</t>
        </is>
      </c>
      <c r="C40" s="137" t="inlineStr">
        <is>
          <t>Col Gas</t>
        </is>
      </c>
      <c r="D40" s="137" t="inlineStr">
        <is>
          <t>CES / COH</t>
        </is>
      </c>
      <c r="E40" s="125" t="n">
        <v>36708</v>
      </c>
      <c r="F40" s="125" t="n">
        <v>36799</v>
      </c>
      <c r="G40" s="123" t="inlineStr">
        <is>
          <t>801 - Leach</t>
        </is>
      </c>
      <c r="H40" s="123" t="inlineStr">
        <is>
          <t>COH-08</t>
        </is>
      </c>
      <c r="I40" s="137" t="inlineStr">
        <is>
          <t>FTS</t>
        </is>
      </c>
      <c r="J40" s="203">
        <f>6.372/J$1</f>
        <v/>
      </c>
      <c r="K40" s="204" t="n">
        <v>0.0132</v>
      </c>
      <c r="L40" s="204" t="n">
        <v>0.0022</v>
      </c>
      <c r="M40" s="204" t="n">
        <v>0.0072</v>
      </c>
      <c r="N40" s="204" t="n">
        <v>0</v>
      </c>
      <c r="O40" s="205" t="n">
        <v>0.02116</v>
      </c>
      <c r="P40" s="204">
        <f>SUM(J40:N40)</f>
        <v/>
      </c>
      <c r="Q40" s="130" t="n">
        <v>64939</v>
      </c>
      <c r="R40" s="137" t="n">
        <v>-2300</v>
      </c>
      <c r="S40" s="123" t="inlineStr">
        <is>
          <t>#29259</t>
        </is>
      </c>
      <c r="T40" s="131">
        <f>J40*J$1*R40</f>
        <v/>
      </c>
      <c r="U40" s="131" t="n"/>
      <c r="V40" s="132" t="n">
        <v>319306</v>
      </c>
      <c r="W40" s="123" t="inlineStr">
        <is>
          <t>Release to IGS For TIMET Contract</t>
        </is>
      </c>
      <c r="X40" s="133" t="n"/>
      <c r="Y40" s="133" t="n"/>
    </row>
    <row r="41" customFormat="1" s="62">
      <c r="B41" s="58" t="inlineStr">
        <is>
          <t>ENA</t>
        </is>
      </c>
      <c r="C41" s="40" t="inlineStr">
        <is>
          <t>Col Gas</t>
        </is>
      </c>
      <c r="D41" s="40" t="inlineStr">
        <is>
          <t>CES / CMD</t>
        </is>
      </c>
      <c r="E41" s="4" t="n">
        <v>36465</v>
      </c>
      <c r="F41" s="4" t="n">
        <v>36830</v>
      </c>
      <c r="G41" s="58" t="inlineStr">
        <is>
          <t>801 - Leach</t>
        </is>
      </c>
      <c r="H41" s="58" t="inlineStr">
        <is>
          <t>CMD-08, CMD-04</t>
        </is>
      </c>
      <c r="I41" s="40" t="inlineStr">
        <is>
          <t>FTS</t>
        </is>
      </c>
      <c r="J41" s="193">
        <f>6.449/J$1</f>
        <v/>
      </c>
      <c r="K41" s="191" t="n">
        <v>0.0132</v>
      </c>
      <c r="L41" s="191" t="n">
        <v>0.0022</v>
      </c>
      <c r="M41" s="191" t="n">
        <v>0.0072</v>
      </c>
      <c r="N41" s="191" t="n">
        <v>0</v>
      </c>
      <c r="O41" s="192" t="n">
        <v>0.02116</v>
      </c>
      <c r="P41" s="191">
        <f>SUM(J41:N41)</f>
        <v/>
      </c>
      <c r="Q41" s="49" t="n">
        <v>65026</v>
      </c>
      <c r="R41" s="40" t="n">
        <v>128</v>
      </c>
      <c r="S41" s="58" t="inlineStr">
        <is>
          <t>#26726</t>
        </is>
      </c>
      <c r="T41" s="28">
        <f>J41*J$1*R41</f>
        <v/>
      </c>
      <c r="U41" s="28" t="n"/>
      <c r="V41" s="56" t="n">
        <v>162286</v>
      </c>
      <c r="W41" s="58" t="n"/>
      <c r="X41" s="36" t="n"/>
      <c r="Y41" s="36" t="n"/>
    </row>
    <row r="42" customFormat="1" s="62">
      <c r="B42" s="58" t="inlineStr">
        <is>
          <t>ENA</t>
        </is>
      </c>
      <c r="C42" s="40" t="inlineStr">
        <is>
          <t>Col Gas</t>
        </is>
      </c>
      <c r="D42" s="40" t="inlineStr">
        <is>
          <t>CES / CPA</t>
        </is>
      </c>
      <c r="E42" s="4" t="n">
        <v>36465</v>
      </c>
      <c r="F42" s="4" t="n">
        <v>36830</v>
      </c>
      <c r="G42" s="58" t="inlineStr">
        <is>
          <t>801 - Leach</t>
        </is>
      </c>
      <c r="H42" s="58" t="inlineStr">
        <is>
          <t>CPA-08</t>
        </is>
      </c>
      <c r="I42" s="40" t="inlineStr">
        <is>
          <t>FTS</t>
        </is>
      </c>
      <c r="J42" s="193">
        <f>6.449/J$1</f>
        <v/>
      </c>
      <c r="K42" s="191" t="n">
        <v>0.0132</v>
      </c>
      <c r="L42" s="191" t="n">
        <v>0.0022</v>
      </c>
      <c r="M42" s="191" t="n">
        <v>0.0072</v>
      </c>
      <c r="N42" s="191" t="n">
        <v>0</v>
      </c>
      <c r="O42" s="192" t="n">
        <v>0.02116</v>
      </c>
      <c r="P42" s="191">
        <f>SUM(J42:N42)</f>
        <v/>
      </c>
      <c r="Q42" s="49" t="n">
        <v>65041</v>
      </c>
      <c r="R42" s="40" t="n">
        <v>9619</v>
      </c>
      <c r="S42" s="58" t="inlineStr">
        <is>
          <t>#26754</t>
        </is>
      </c>
      <c r="T42" s="28">
        <f>J42*J$1*R42</f>
        <v/>
      </c>
      <c r="U42" s="28" t="n"/>
      <c r="V42" s="56" t="n">
        <v>162285</v>
      </c>
      <c r="W42" s="58" t="n"/>
      <c r="X42" s="36" t="n"/>
      <c r="Y42" s="36" t="n"/>
    </row>
    <row r="43" customFormat="1" s="62">
      <c r="B43" s="58" t="inlineStr">
        <is>
          <t>ENA</t>
        </is>
      </c>
      <c r="C43" s="40" t="inlineStr">
        <is>
          <t>Col Gas</t>
        </is>
      </c>
      <c r="D43" s="40" t="inlineStr">
        <is>
          <t>CES / CPA</t>
        </is>
      </c>
      <c r="E43" s="4" t="n">
        <v>36465</v>
      </c>
      <c r="F43" s="4" t="n">
        <v>36830</v>
      </c>
      <c r="G43" s="58" t="inlineStr">
        <is>
          <t>801 - Leach</t>
        </is>
      </c>
      <c r="H43" s="58" t="inlineStr">
        <is>
          <t>CPA-04</t>
        </is>
      </c>
      <c r="I43" s="40" t="inlineStr">
        <is>
          <t>FTS</t>
        </is>
      </c>
      <c r="J43" s="193">
        <f>6.449/J$1</f>
        <v/>
      </c>
      <c r="K43" s="191" t="n">
        <v>0.0132</v>
      </c>
      <c r="L43" s="191" t="n">
        <v>0.0022</v>
      </c>
      <c r="M43" s="191" t="n">
        <v>0.0072</v>
      </c>
      <c r="N43" s="191" t="n">
        <v>0</v>
      </c>
      <c r="O43" s="192" t="n">
        <v>0.02116</v>
      </c>
      <c r="P43" s="191">
        <f>SUM(J43:N43)</f>
        <v/>
      </c>
      <c r="Q43" s="49" t="n">
        <v>65042</v>
      </c>
      <c r="R43" s="40" t="n">
        <v>4427</v>
      </c>
      <c r="S43" s="58" t="inlineStr">
        <is>
          <t>#26753</t>
        </is>
      </c>
      <c r="T43" s="28">
        <f>J43*J$1*R43</f>
        <v/>
      </c>
      <c r="U43" s="28" t="n"/>
      <c r="V43" s="56" t="n">
        <v>162287</v>
      </c>
      <c r="W43" s="58" t="n"/>
      <c r="X43" s="36" t="n"/>
      <c r="Y43" s="36" t="n"/>
    </row>
    <row r="44" customFormat="1" s="62">
      <c r="B44" s="58" t="inlineStr">
        <is>
          <t>ENA</t>
        </is>
      </c>
      <c r="C44" s="40" t="inlineStr">
        <is>
          <t>Col Gas</t>
        </is>
      </c>
      <c r="D44" s="40" t="inlineStr">
        <is>
          <t>CES / BG&amp;E</t>
        </is>
      </c>
      <c r="E44" s="4" t="n">
        <v>36465</v>
      </c>
      <c r="F44" s="4" t="n">
        <v>37011</v>
      </c>
      <c r="G44" s="58" t="inlineStr">
        <is>
          <t>801 - Leach</t>
        </is>
      </c>
      <c r="H44" s="58" t="inlineStr">
        <is>
          <t>BG&amp;E-10</t>
        </is>
      </c>
      <c r="I44" s="40" t="inlineStr">
        <is>
          <t>FTS</t>
        </is>
      </c>
      <c r="J44" s="193">
        <f>6.449/J$1</f>
        <v/>
      </c>
      <c r="K44" s="191" t="n">
        <v>0.0132</v>
      </c>
      <c r="L44" s="191" t="n">
        <v>0.0022</v>
      </c>
      <c r="M44" s="191" t="n">
        <v>0.0072</v>
      </c>
      <c r="N44" s="191" t="n">
        <v>0</v>
      </c>
      <c r="O44" s="192" t="n">
        <v>0.02116</v>
      </c>
      <c r="P44" s="191">
        <f>SUM(J44:N44)</f>
        <v/>
      </c>
      <c r="Q44" s="49" t="n">
        <v>65108</v>
      </c>
      <c r="R44" s="40" t="n">
        <v>5000</v>
      </c>
      <c r="S44" s="58" t="inlineStr">
        <is>
          <t>No offer</t>
        </is>
      </c>
      <c r="T44" s="28">
        <f>J44*J$1*R44</f>
        <v/>
      </c>
      <c r="U44" s="28" t="n"/>
      <c r="V44" s="56" t="n">
        <v>163001</v>
      </c>
      <c r="W44" s="58" t="n"/>
      <c r="X44" s="36" t="n"/>
      <c r="Y44" s="36" t="n"/>
    </row>
    <row r="45"/>
    <row r="46"/>
    <row r="47"/>
    <row r="48"/>
    <row r="49" customFormat="1" s="62">
      <c r="B49" s="58" t="inlineStr">
        <is>
          <t>ENA</t>
        </is>
      </c>
      <c r="C49" s="40" t="inlineStr">
        <is>
          <t>Col Gas</t>
        </is>
      </c>
      <c r="D49" s="40" t="n"/>
      <c r="E49" s="4" t="n">
        <v>36557</v>
      </c>
      <c r="F49" s="4" t="n">
        <v>36830</v>
      </c>
      <c r="G49" s="58" t="inlineStr">
        <is>
          <t>F4 Monclova</t>
        </is>
      </c>
      <c r="H49" s="58" t="inlineStr">
        <is>
          <t>23N-7 Sandusky</t>
        </is>
      </c>
      <c r="I49" s="40" t="inlineStr">
        <is>
          <t>FTS</t>
        </is>
      </c>
      <c r="J49" s="193">
        <f>4.563/J$1</f>
        <v/>
      </c>
      <c r="K49" s="191" t="n">
        <v>0.0132</v>
      </c>
      <c r="L49" s="191" t="n">
        <v>0.0022</v>
      </c>
      <c r="M49" s="191" t="n">
        <v>0.0072</v>
      </c>
      <c r="N49" s="191" t="n">
        <v>0</v>
      </c>
      <c r="O49" s="192" t="n">
        <v>0.02116</v>
      </c>
      <c r="P49" s="191">
        <f>SUM(J49:N49)</f>
        <v/>
      </c>
      <c r="Q49" s="49" t="n">
        <v>65418</v>
      </c>
      <c r="R49" s="40" t="n">
        <v>500</v>
      </c>
      <c r="S49" s="58" t="inlineStr">
        <is>
          <t>#26722</t>
        </is>
      </c>
      <c r="T49" s="28">
        <f>J49*J$1*R49</f>
        <v/>
      </c>
      <c r="U49" s="28" t="n"/>
      <c r="V49" s="56" t="n">
        <v>156599</v>
      </c>
      <c r="W49" s="58" t="n"/>
      <c r="X49" s="36" t="n"/>
      <c r="Y49" s="36" t="n"/>
    </row>
    <row r="50" customFormat="1" s="62">
      <c r="B50" s="58" t="inlineStr">
        <is>
          <t>ENA</t>
        </is>
      </c>
      <c r="C50" s="40" t="inlineStr">
        <is>
          <t>Col Gas</t>
        </is>
      </c>
      <c r="D50" s="40" t="inlineStr">
        <is>
          <t>CES / CMD</t>
        </is>
      </c>
      <c r="E50" s="4" t="n">
        <v>36557</v>
      </c>
      <c r="F50" s="4" t="n">
        <v>36860</v>
      </c>
      <c r="G50" s="58" t="inlineStr">
        <is>
          <t>801 - Leach</t>
        </is>
      </c>
      <c r="H50" s="58" t="inlineStr">
        <is>
          <t>CMD-08, CMD-04</t>
        </is>
      </c>
      <c r="I50" s="40" t="inlineStr">
        <is>
          <t>FTS</t>
        </is>
      </c>
      <c r="J50" s="193">
        <f>6.449/J$1</f>
        <v/>
      </c>
      <c r="K50" s="191" t="n">
        <v>0.0132</v>
      </c>
      <c r="L50" s="191" t="n">
        <v>0.0022</v>
      </c>
      <c r="M50" s="191" t="n">
        <v>0.0072</v>
      </c>
      <c r="N50" s="191" t="n">
        <v>0</v>
      </c>
      <c r="O50" s="192" t="n">
        <v>0.02116</v>
      </c>
      <c r="P50" s="191">
        <f>SUM(J50:N50)</f>
        <v/>
      </c>
      <c r="Q50" s="49" t="n">
        <v>65556</v>
      </c>
      <c r="R50" s="40" t="n">
        <v>3</v>
      </c>
      <c r="S50" s="58" t="inlineStr">
        <is>
          <t>#27127</t>
        </is>
      </c>
      <c r="T50" s="28">
        <f>J50*J$1*R50</f>
        <v/>
      </c>
      <c r="U50" s="28" t="n"/>
      <c r="V50" s="56" t="n">
        <v>156602</v>
      </c>
      <c r="W50" s="58" t="n"/>
      <c r="X50" s="36" t="n"/>
      <c r="Y50" s="36" t="n"/>
    </row>
    <row r="51" customFormat="1" s="62">
      <c r="B51" s="58" t="inlineStr">
        <is>
          <t>ENA</t>
        </is>
      </c>
      <c r="C51" s="40" t="inlineStr">
        <is>
          <t>Col Gas</t>
        </is>
      </c>
      <c r="D51" s="40" t="inlineStr">
        <is>
          <t>CMD</t>
        </is>
      </c>
      <c r="E51" s="4" t="n">
        <v>36557</v>
      </c>
      <c r="F51" s="4" t="n">
        <v>36922</v>
      </c>
      <c r="G51" s="58" t="inlineStr">
        <is>
          <t>801-Leach</t>
        </is>
      </c>
      <c r="H51" s="58" t="inlineStr">
        <is>
          <t>19-26</t>
        </is>
      </c>
      <c r="I51" s="40" t="inlineStr">
        <is>
          <t>FTS</t>
        </is>
      </c>
      <c r="J51" s="193">
        <f>6.449/J$1</f>
        <v/>
      </c>
      <c r="K51" s="191" t="n"/>
      <c r="L51" s="191" t="n"/>
      <c r="M51" s="191" t="n"/>
      <c r="N51" s="191" t="n"/>
      <c r="O51" s="192" t="n"/>
      <c r="P51" s="191" t="n"/>
      <c r="Q51" s="49" t="n">
        <v>66280</v>
      </c>
      <c r="R51" s="40" t="n">
        <v>1</v>
      </c>
      <c r="S51" s="58" t="inlineStr">
        <is>
          <t>#27772</t>
        </is>
      </c>
      <c r="T51" s="28">
        <f>J51*J$1*R51</f>
        <v/>
      </c>
      <c r="U51" s="28" t="n"/>
      <c r="V51" s="56" t="n">
        <v>156606</v>
      </c>
      <c r="W51" s="58" t="n"/>
      <c r="X51" s="36" t="n"/>
      <c r="Y51" s="36" t="n"/>
    </row>
    <row r="52" customFormat="1" s="62">
      <c r="B52" s="58" t="inlineStr">
        <is>
          <t>ENA</t>
        </is>
      </c>
      <c r="C52" s="40" t="inlineStr">
        <is>
          <t>Col Gas</t>
        </is>
      </c>
      <c r="D52" s="40" t="inlineStr">
        <is>
          <t>CMD</t>
        </is>
      </c>
      <c r="E52" s="4" t="n">
        <v>36557</v>
      </c>
      <c r="F52" s="4" t="n">
        <v>36922</v>
      </c>
      <c r="G52" s="58" t="inlineStr">
        <is>
          <t>801-Leach</t>
        </is>
      </c>
      <c r="H52" s="58" t="inlineStr">
        <is>
          <t>19-27</t>
        </is>
      </c>
      <c r="I52" s="40" t="inlineStr">
        <is>
          <t>FTS</t>
        </is>
      </c>
      <c r="J52" s="193">
        <f>6.449/J$1</f>
        <v/>
      </c>
      <c r="K52" s="191" t="n"/>
      <c r="L52" s="191" t="n"/>
      <c r="M52" s="191" t="n"/>
      <c r="N52" s="191" t="n"/>
      <c r="O52" s="192" t="n"/>
      <c r="P52" s="191" t="n"/>
      <c r="Q52" s="49" t="n">
        <v>66280</v>
      </c>
      <c r="R52" s="40" t="n">
        <v>4</v>
      </c>
      <c r="S52" s="58" t="inlineStr">
        <is>
          <t>#27772</t>
        </is>
      </c>
      <c r="T52" s="28">
        <f>J52*J$1*R52</f>
        <v/>
      </c>
      <c r="U52" s="28" t="n"/>
      <c r="V52" s="56" t="n">
        <v>156606</v>
      </c>
      <c r="W52" s="58" t="n"/>
      <c r="X52" s="36" t="n"/>
      <c r="Y52" s="36" t="n"/>
    </row>
    <row r="53" customFormat="1" s="62">
      <c r="B53" s="58" t="inlineStr">
        <is>
          <t>ENA</t>
        </is>
      </c>
      <c r="C53" s="40" t="inlineStr">
        <is>
          <t>Col Gas</t>
        </is>
      </c>
      <c r="D53" s="40" t="inlineStr">
        <is>
          <t>CMD</t>
        </is>
      </c>
      <c r="E53" s="4" t="n">
        <v>36656</v>
      </c>
      <c r="F53" s="4" t="n">
        <v>36950</v>
      </c>
      <c r="G53" s="58" t="inlineStr">
        <is>
          <t>801-Leach</t>
        </is>
      </c>
      <c r="H53" s="60" t="inlineStr">
        <is>
          <t>19-26</t>
        </is>
      </c>
      <c r="I53" s="40" t="inlineStr">
        <is>
          <t>FTS</t>
        </is>
      </c>
      <c r="J53" s="193" t="n">
        <v>6.449</v>
      </c>
      <c r="K53" s="191" t="n"/>
      <c r="L53" s="191" t="n"/>
      <c r="M53" s="191" t="n"/>
      <c r="N53" s="191" t="n"/>
      <c r="O53" s="192" t="n"/>
      <c r="P53" s="191" t="n"/>
      <c r="Q53" s="49" t="n">
        <v>68308</v>
      </c>
      <c r="R53" s="40" t="n">
        <v>5</v>
      </c>
      <c r="S53" s="58" t="inlineStr">
        <is>
          <t>#27991</t>
        </is>
      </c>
      <c r="T53" s="28">
        <f>+R53*J53</f>
        <v/>
      </c>
      <c r="U53" s="28" t="n"/>
      <c r="V53" s="56" t="n">
        <v>262094</v>
      </c>
      <c r="W53" s="58" t="n"/>
      <c r="X53" s="36" t="n"/>
      <c r="Y53" s="36" t="n"/>
    </row>
    <row r="54" customFormat="1" s="62">
      <c r="B54" s="58" t="inlineStr">
        <is>
          <t>ENA</t>
        </is>
      </c>
      <c r="C54" s="40" t="inlineStr">
        <is>
          <t>Col Gas</t>
        </is>
      </c>
      <c r="D54" s="40" t="inlineStr">
        <is>
          <t>CMD</t>
        </is>
      </c>
      <c r="E54" s="4" t="n">
        <v>36656</v>
      </c>
      <c r="F54" s="4" t="n">
        <v>36950</v>
      </c>
      <c r="G54" s="58" t="inlineStr">
        <is>
          <t>801-Leach</t>
        </is>
      </c>
      <c r="H54" s="60" t="inlineStr">
        <is>
          <t>19-27</t>
        </is>
      </c>
      <c r="I54" s="40" t="inlineStr">
        <is>
          <t>FTS</t>
        </is>
      </c>
      <c r="J54" s="193" t="n">
        <v>6.449</v>
      </c>
      <c r="K54" s="191" t="n"/>
      <c r="L54" s="191" t="n"/>
      <c r="M54" s="191" t="n"/>
      <c r="N54" s="191" t="n"/>
      <c r="O54" s="192" t="n"/>
      <c r="P54" s="191" t="n"/>
      <c r="Q54" s="49" t="n">
        <v>68308</v>
      </c>
      <c r="R54" s="40" t="n">
        <v>4</v>
      </c>
      <c r="S54" s="58" t="inlineStr">
        <is>
          <t>#27991</t>
        </is>
      </c>
      <c r="T54" s="28">
        <f>+R54*J54</f>
        <v/>
      </c>
      <c r="U54" s="28" t="n"/>
      <c r="V54" s="56" t="n">
        <v>262094</v>
      </c>
      <c r="W54" s="58" t="n"/>
      <c r="X54" s="36" t="n"/>
      <c r="Y54" s="36" t="n"/>
    </row>
    <row r="55" customFormat="1" s="62">
      <c r="B55" s="58" t="inlineStr">
        <is>
          <t>ENA</t>
        </is>
      </c>
      <c r="C55" s="40" t="inlineStr">
        <is>
          <t>Col Gas</t>
        </is>
      </c>
      <c r="D55" s="40" t="inlineStr">
        <is>
          <t>TCO</t>
        </is>
      </c>
      <c r="E55" s="4" t="n">
        <v>36617</v>
      </c>
      <c r="F55" s="4" t="inlineStr">
        <is>
          <t>evergreen</t>
        </is>
      </c>
      <c r="G55" s="58" t="inlineStr">
        <is>
          <t>AS Pooling Agreement</t>
        </is>
      </c>
      <c r="H55" s="58" t="n"/>
      <c r="I55" s="40" t="inlineStr">
        <is>
          <t>AS</t>
        </is>
      </c>
      <c r="J55" s="193" t="n"/>
      <c r="K55" s="191" t="n"/>
      <c r="L55" s="191" t="n"/>
      <c r="M55" s="191" t="n"/>
      <c r="N55" s="191" t="n"/>
      <c r="O55" s="192" t="n"/>
      <c r="P55" s="191" t="n"/>
      <c r="Q55" s="49" t="n">
        <v>66917</v>
      </c>
      <c r="R55" s="40" t="n"/>
      <c r="S55" s="58" t="n"/>
      <c r="T55" s="28" t="n"/>
      <c r="U55" s="28" t="n"/>
      <c r="V55" s="56" t="n">
        <v>228085</v>
      </c>
      <c r="W55" s="58" t="n"/>
      <c r="X55" s="36" t="n"/>
      <c r="Y55" s="36" t="n"/>
    </row>
    <row r="56" customFormat="1" s="62">
      <c r="B56" s="58" t="inlineStr">
        <is>
          <t>ENA</t>
        </is>
      </c>
      <c r="C56" s="40" t="inlineStr">
        <is>
          <t>Col Gas</t>
        </is>
      </c>
      <c r="D56" s="40" t="inlineStr">
        <is>
          <t>CMD</t>
        </is>
      </c>
      <c r="E56" s="4" t="n">
        <v>36617</v>
      </c>
      <c r="F56" s="4" t="n">
        <v>36981</v>
      </c>
      <c r="G56" s="58" t="inlineStr">
        <is>
          <t>801-Leach</t>
        </is>
      </c>
      <c r="H56" s="58" t="inlineStr">
        <is>
          <t>19-26</t>
        </is>
      </c>
      <c r="I56" s="40" t="inlineStr">
        <is>
          <t>FTS</t>
        </is>
      </c>
      <c r="J56" s="193" t="n">
        <v>6.401</v>
      </c>
      <c r="K56" s="191" t="n"/>
      <c r="L56" s="191" t="n"/>
      <c r="M56" s="191" t="n"/>
      <c r="N56" s="191" t="n"/>
      <c r="O56" s="192" t="n"/>
      <c r="P56" s="191" t="n"/>
      <c r="Q56" s="49" t="n">
        <v>66939</v>
      </c>
      <c r="R56" s="40" t="n">
        <v>5</v>
      </c>
      <c r="S56" s="58" t="inlineStr">
        <is>
          <t>#28332</t>
        </is>
      </c>
      <c r="T56" s="28">
        <f>+R56*J56</f>
        <v/>
      </c>
      <c r="U56" s="28" t="n"/>
      <c r="V56" s="56" t="n"/>
      <c r="W56" s="58" t="n"/>
      <c r="X56" s="36" t="n"/>
      <c r="Y56" s="36" t="n"/>
    </row>
    <row r="57" customFormat="1" s="62">
      <c r="B57" s="58" t="inlineStr">
        <is>
          <t>ENA</t>
        </is>
      </c>
      <c r="C57" s="40" t="inlineStr">
        <is>
          <t>Col Gas</t>
        </is>
      </c>
      <c r="D57" s="40" t="inlineStr">
        <is>
          <t>CMD</t>
        </is>
      </c>
      <c r="E57" s="4" t="n">
        <v>36617</v>
      </c>
      <c r="F57" s="4" t="n">
        <v>36981</v>
      </c>
      <c r="G57" s="58" t="inlineStr">
        <is>
          <t>801-Leach</t>
        </is>
      </c>
      <c r="H57" s="58" t="inlineStr">
        <is>
          <t>19-27</t>
        </is>
      </c>
      <c r="I57" s="40" t="inlineStr">
        <is>
          <t>FTS</t>
        </is>
      </c>
      <c r="J57" s="193" t="n">
        <v>6.401</v>
      </c>
      <c r="K57" s="191" t="n"/>
      <c r="L57" s="191" t="n"/>
      <c r="M57" s="191" t="n"/>
      <c r="N57" s="191" t="n"/>
      <c r="O57" s="192" t="n"/>
      <c r="P57" s="191" t="n"/>
      <c r="Q57" s="49" t="n">
        <v>66939</v>
      </c>
      <c r="R57" s="40" t="n">
        <v>27</v>
      </c>
      <c r="S57" s="58" t="inlineStr">
        <is>
          <t>#28332</t>
        </is>
      </c>
      <c r="T57" s="28">
        <f>+R57*J57</f>
        <v/>
      </c>
      <c r="U57" s="28" t="n"/>
      <c r="V57" s="56" t="n"/>
      <c r="W57" s="58" t="n"/>
      <c r="X57" s="36" t="n"/>
      <c r="Y57" s="36" t="n"/>
    </row>
    <row r="58" customFormat="1" s="62">
      <c r="B58" s="58" t="inlineStr">
        <is>
          <t>ENA</t>
        </is>
      </c>
      <c r="C58" s="40" t="inlineStr">
        <is>
          <t>Col Gas</t>
        </is>
      </c>
      <c r="D58" s="40" t="inlineStr">
        <is>
          <t>CMD</t>
        </is>
      </c>
      <c r="E58" s="4" t="n">
        <v>36617</v>
      </c>
      <c r="F58" s="4" t="n">
        <v>36981</v>
      </c>
      <c r="G58" s="58" t="inlineStr">
        <is>
          <t>801-Leach</t>
        </is>
      </c>
      <c r="H58" s="58" t="inlineStr">
        <is>
          <t>19-32</t>
        </is>
      </c>
      <c r="I58" s="40" t="inlineStr">
        <is>
          <t>FTS</t>
        </is>
      </c>
      <c r="J58" s="193" t="n">
        <v>6.401</v>
      </c>
      <c r="K58" s="191" t="n"/>
      <c r="L58" s="191" t="n"/>
      <c r="M58" s="191" t="n"/>
      <c r="N58" s="191" t="n"/>
      <c r="O58" s="192" t="n"/>
      <c r="P58" s="191" t="n"/>
      <c r="Q58" s="49" t="n">
        <v>66939</v>
      </c>
      <c r="R58" s="40" t="n">
        <v>3</v>
      </c>
      <c r="S58" s="58" t="inlineStr">
        <is>
          <t>#28332</t>
        </is>
      </c>
      <c r="T58" s="28">
        <f>+R58*J58</f>
        <v/>
      </c>
      <c r="U58" s="28" t="n"/>
      <c r="V58" s="56" t="n"/>
      <c r="W58" s="58" t="n"/>
      <c r="X58" s="36" t="n"/>
      <c r="Y58" s="36" t="n"/>
    </row>
    <row r="59" customFormat="1" s="62">
      <c r="B59" s="58" t="inlineStr">
        <is>
          <t>ENA</t>
        </is>
      </c>
      <c r="C59" s="40" t="inlineStr">
        <is>
          <t>Col Gas</t>
        </is>
      </c>
      <c r="D59" s="40" t="inlineStr">
        <is>
          <t>CMD</t>
        </is>
      </c>
      <c r="E59" s="4" t="n">
        <v>36617</v>
      </c>
      <c r="F59" s="4" t="n">
        <v>36981</v>
      </c>
      <c r="G59" s="58" t="inlineStr">
        <is>
          <t>801-Leach</t>
        </is>
      </c>
      <c r="H59" s="58" t="inlineStr">
        <is>
          <t>19E</t>
        </is>
      </c>
      <c r="I59" s="40" t="inlineStr">
        <is>
          <t>FTS</t>
        </is>
      </c>
      <c r="J59" s="193" t="n">
        <v>6.401</v>
      </c>
      <c r="K59" s="191" t="n"/>
      <c r="L59" s="191" t="n"/>
      <c r="M59" s="191" t="n"/>
      <c r="N59" s="191" t="n"/>
      <c r="O59" s="192" t="n"/>
      <c r="P59" s="191" t="n"/>
      <c r="Q59" s="49" t="n">
        <v>66939</v>
      </c>
      <c r="R59" s="40" t="n">
        <v>17</v>
      </c>
      <c r="S59" s="58" t="inlineStr">
        <is>
          <t>#28332</t>
        </is>
      </c>
      <c r="T59" s="28">
        <f>+R59*J59</f>
        <v/>
      </c>
      <c r="U59" s="28" t="n"/>
      <c r="V59" s="56" t="n"/>
      <c r="W59" s="58" t="n"/>
      <c r="X59" s="36" t="n"/>
      <c r="Y59" s="36" t="n"/>
    </row>
    <row r="60" customFormat="1" s="62">
      <c r="B60" s="58" t="inlineStr">
        <is>
          <t>ENA</t>
        </is>
      </c>
      <c r="C60" s="40" t="inlineStr">
        <is>
          <t>Col Gas</t>
        </is>
      </c>
      <c r="D60" s="40" t="inlineStr">
        <is>
          <t>CPA</t>
        </is>
      </c>
      <c r="E60" s="4" t="n">
        <v>36617</v>
      </c>
      <c r="F60" s="4" t="n">
        <v>36981</v>
      </c>
      <c r="G60" s="58" t="inlineStr">
        <is>
          <t>801-Leach</t>
        </is>
      </c>
      <c r="H60" s="58" t="inlineStr">
        <is>
          <t>25-36</t>
        </is>
      </c>
      <c r="I60" s="40" t="inlineStr">
        <is>
          <t>FTS</t>
        </is>
      </c>
      <c r="J60" s="193" t="n">
        <v>6.401</v>
      </c>
      <c r="K60" s="191" t="n"/>
      <c r="L60" s="191" t="n"/>
      <c r="M60" s="191" t="n"/>
      <c r="N60" s="191" t="n"/>
      <c r="O60" s="192" t="n"/>
      <c r="P60" s="191" t="n"/>
      <c r="Q60" s="49" t="n">
        <v>66940</v>
      </c>
      <c r="R60" s="40" t="n">
        <v>1</v>
      </c>
      <c r="S60" s="60" t="inlineStr">
        <is>
          <t>#28331</t>
        </is>
      </c>
      <c r="T60" s="28">
        <f>+R60*J60</f>
        <v/>
      </c>
      <c r="U60" s="28" t="n"/>
      <c r="V60" s="56" t="n">
        <v>228134</v>
      </c>
      <c r="W60" s="58" t="n"/>
      <c r="X60" s="36" t="n"/>
      <c r="Y60" s="36" t="n"/>
    </row>
    <row r="61" customFormat="1" s="62">
      <c r="B61" s="58" t="inlineStr">
        <is>
          <t>ENA</t>
        </is>
      </c>
      <c r="C61" s="40" t="inlineStr">
        <is>
          <t>Col Gas</t>
        </is>
      </c>
      <c r="D61" s="40" t="inlineStr">
        <is>
          <t>CPA</t>
        </is>
      </c>
      <c r="E61" s="4" t="n">
        <v>36617</v>
      </c>
      <c r="F61" s="4" t="n">
        <v>36981</v>
      </c>
      <c r="G61" s="58" t="inlineStr">
        <is>
          <t>801-Leach</t>
        </is>
      </c>
      <c r="H61" s="58" t="inlineStr">
        <is>
          <t>25-39</t>
        </is>
      </c>
      <c r="I61" s="40" t="inlineStr">
        <is>
          <t>FTS</t>
        </is>
      </c>
      <c r="J61" s="193" t="n">
        <v>6.401</v>
      </c>
      <c r="K61" s="191" t="n"/>
      <c r="L61" s="191" t="n"/>
      <c r="M61" s="191" t="n"/>
      <c r="N61" s="191" t="n"/>
      <c r="O61" s="192" t="n"/>
      <c r="P61" s="191" t="n"/>
      <c r="Q61" s="49" t="n">
        <v>66940</v>
      </c>
      <c r="R61" s="40" t="n">
        <v>1</v>
      </c>
      <c r="S61" s="60" t="inlineStr">
        <is>
          <t>#28331</t>
        </is>
      </c>
      <c r="T61" s="28">
        <f>+R61*J61</f>
        <v/>
      </c>
      <c r="U61" s="28" t="n"/>
      <c r="V61" s="56" t="n">
        <v>228134</v>
      </c>
      <c r="W61" s="58" t="n"/>
      <c r="X61" s="36" t="n"/>
      <c r="Y61" s="36" t="n"/>
    </row>
    <row r="62" customFormat="1" s="62">
      <c r="B62" s="58" t="inlineStr">
        <is>
          <t>ENA</t>
        </is>
      </c>
      <c r="C62" s="40" t="inlineStr">
        <is>
          <t>Col Gas</t>
        </is>
      </c>
      <c r="D62" s="40" t="inlineStr">
        <is>
          <t>CPA</t>
        </is>
      </c>
      <c r="E62" s="4" t="n">
        <v>36647</v>
      </c>
      <c r="F62" s="4" t="n">
        <v>37011</v>
      </c>
      <c r="G62" s="58" t="inlineStr">
        <is>
          <t>a05-Delmont</t>
        </is>
      </c>
      <c r="H62" s="58" t="inlineStr">
        <is>
          <t>25-26</t>
        </is>
      </c>
      <c r="I62" s="40" t="inlineStr">
        <is>
          <t>FTS</t>
        </is>
      </c>
      <c r="J62" s="193">
        <f>6.401/J1</f>
        <v/>
      </c>
      <c r="K62" s="191" t="n"/>
      <c r="L62" s="191" t="n"/>
      <c r="M62" s="191" t="n"/>
      <c r="N62" s="191" t="n"/>
      <c r="O62" s="192" t="n"/>
      <c r="P62" s="191" t="n"/>
      <c r="Q62" s="49" t="n">
        <v>68188</v>
      </c>
      <c r="R62" s="40" t="n">
        <v>1</v>
      </c>
      <c r="S62" s="58" t="inlineStr">
        <is>
          <t>#28742</t>
        </is>
      </c>
      <c r="T62" s="28">
        <f>+J62*R62*13</f>
        <v/>
      </c>
      <c r="U62" s="28" t="n"/>
      <c r="V62" s="56" t="n">
        <v>253195</v>
      </c>
      <c r="W62" s="58" t="n"/>
      <c r="X62" s="36" t="n"/>
      <c r="Y62" s="36" t="n"/>
    </row>
    <row r="63" customFormat="1" s="79">
      <c r="B63" s="42" t="inlineStr">
        <is>
          <t>ENA</t>
        </is>
      </c>
      <c r="C63" s="71" t="inlineStr">
        <is>
          <t>Col Gulf</t>
        </is>
      </c>
      <c r="D63" s="71" t="inlineStr">
        <is>
          <t>CMD</t>
        </is>
      </c>
      <c r="E63" s="72" t="n">
        <v>36656</v>
      </c>
      <c r="F63" s="72" t="n">
        <v>36950</v>
      </c>
      <c r="G63" s="42" t="inlineStr">
        <is>
          <t>Rayne</t>
        </is>
      </c>
      <c r="H63" s="42" t="inlineStr">
        <is>
          <t>Leach</t>
        </is>
      </c>
      <c r="I63" s="71" t="inlineStr">
        <is>
          <t>FTS-1</t>
        </is>
      </c>
      <c r="J63" s="197" t="n">
        <v>3.145</v>
      </c>
      <c r="K63" s="198" t="n"/>
      <c r="L63" s="198" t="n"/>
      <c r="M63" s="198" t="n"/>
      <c r="N63" s="198" t="n"/>
      <c r="O63" s="199" t="n"/>
      <c r="P63" s="198" t="n"/>
      <c r="Q63" s="76" t="n">
        <v>68308</v>
      </c>
      <c r="R63" s="71" t="n">
        <v>9</v>
      </c>
      <c r="S63" s="42" t="n"/>
      <c r="T63" s="77">
        <f>+R63*J63/31*21</f>
        <v/>
      </c>
      <c r="U63" s="77" t="n"/>
      <c r="V63" s="106" t="n">
        <v>262094</v>
      </c>
      <c r="W63" s="42" t="n"/>
      <c r="X63" s="78" t="n"/>
      <c r="Y63" s="78" t="n"/>
    </row>
    <row r="64" customFormat="1" s="162">
      <c r="A64" s="150" t="n"/>
      <c r="B64" s="151" t="inlineStr">
        <is>
          <t>ENA</t>
        </is>
      </c>
      <c r="C64" s="152" t="inlineStr">
        <is>
          <t>Col Gas</t>
        </is>
      </c>
      <c r="D64" s="152" t="inlineStr">
        <is>
          <t>CGAS</t>
        </is>
      </c>
      <c r="E64" s="153" t="n">
        <v>36678</v>
      </c>
      <c r="F64" s="153" t="n">
        <v>36830</v>
      </c>
      <c r="G64" s="151" t="inlineStr">
        <is>
          <t>[Person_12]</t>
        </is>
      </c>
      <c r="H64" s="154" t="inlineStr">
        <is>
          <t>8 Mansfield COH 7-8</t>
        </is>
      </c>
      <c r="I64" s="152" t="inlineStr">
        <is>
          <t>FTS</t>
        </is>
      </c>
      <c r="J64" s="206" t="n"/>
      <c r="K64" s="207" t="n">
        <v>0.0132</v>
      </c>
      <c r="L64" s="207" t="n">
        <v>0.0022</v>
      </c>
      <c r="M64" s="207" t="n">
        <v>0.0075</v>
      </c>
      <c r="N64" s="207" t="n">
        <v>0</v>
      </c>
      <c r="O64" s="208" t="n">
        <v>0.02116</v>
      </c>
      <c r="P64" s="207">
        <f>SUM(J64:N64)</f>
        <v/>
      </c>
      <c r="Q64" s="158" t="n">
        <v>65402</v>
      </c>
      <c r="R64" s="152" t="n"/>
      <c r="S64" s="151" t="inlineStr">
        <is>
          <t>#26694 &amp;#29000</t>
        </is>
      </c>
      <c r="T64" s="159">
        <f>J64*J$1*R64</f>
        <v/>
      </c>
      <c r="U64" s="159" t="n"/>
      <c r="V64" s="160" t="inlineStr">
        <is>
          <t>156596/280583</t>
        </is>
      </c>
      <c r="W64" s="151" t="inlineStr">
        <is>
          <t>Release to equitable 20 K at .03 see annuity deal 327906</t>
        </is>
      </c>
      <c r="X64" s="161" t="n"/>
      <c r="Y64" s="161" t="n"/>
    </row>
    <row r="65" ht="13.5" customFormat="1" customHeight="1" s="175" thickBot="1">
      <c r="A65" s="163" t="n"/>
      <c r="B65" s="164" t="inlineStr">
        <is>
          <t>ENA</t>
        </is>
      </c>
      <c r="C65" s="165" t="inlineStr">
        <is>
          <t>Col Gas</t>
        </is>
      </c>
      <c r="D65" s="165" t="inlineStr">
        <is>
          <t>CGAS</t>
        </is>
      </c>
      <c r="E65" s="166" t="n">
        <v>36312</v>
      </c>
      <c r="F65" s="166" t="n">
        <v>37011</v>
      </c>
      <c r="G65" s="167" t="inlineStr">
        <is>
          <t>801 - Leach</t>
        </is>
      </c>
      <c r="H65" s="167" t="inlineStr">
        <is>
          <t>4 BG&amp;E</t>
        </is>
      </c>
      <c r="I65" s="165" t="inlineStr">
        <is>
          <t>FTS</t>
        </is>
      </c>
      <c r="J65" s="209" t="n"/>
      <c r="K65" s="210" t="n"/>
      <c r="L65" s="210" t="n"/>
      <c r="M65" s="210" t="n"/>
      <c r="N65" s="210" t="n"/>
      <c r="O65" s="211" t="n"/>
      <c r="P65" s="210" t="n"/>
      <c r="Q65" s="171" t="n">
        <v>65403</v>
      </c>
      <c r="R65" s="165" t="n"/>
      <c r="S65" s="164" t="inlineStr">
        <is>
          <t>#26714 ENA purchased from CES</t>
        </is>
      </c>
      <c r="T65" s="172" t="n"/>
      <c r="U65" s="172" t="n"/>
      <c r="V65" s="173" t="n"/>
      <c r="W65" s="164" t="inlineStr">
        <is>
          <t>ENA Bought 19,293 @.18 see annuity deal 327906</t>
        </is>
      </c>
      <c r="X65" s="174" t="n"/>
      <c r="Y65" s="174" t="n"/>
    </row>
    <row r="66" customFormat="1" s="62">
      <c r="B66" s="58" t="inlineStr">
        <is>
          <t>ENA</t>
        </is>
      </c>
      <c r="C66" s="40" t="inlineStr">
        <is>
          <t>Col Gas</t>
        </is>
      </c>
      <c r="D66" s="40" t="inlineStr">
        <is>
          <t>CVA</t>
        </is>
      </c>
      <c r="E66" s="4" t="n">
        <v>36647</v>
      </c>
      <c r="F66" s="4" t="n">
        <v>37011</v>
      </c>
      <c r="G66" s="58" t="inlineStr">
        <is>
          <t>801-Leach</t>
        </is>
      </c>
      <c r="H66" s="58" t="inlineStr">
        <is>
          <t>46-30 OPT 10-30</t>
        </is>
      </c>
      <c r="I66" s="40" t="inlineStr">
        <is>
          <t>FTS</t>
        </is>
      </c>
      <c r="J66" s="193" t="n">
        <v>6.401</v>
      </c>
      <c r="K66" s="191" t="n"/>
      <c r="L66" s="191" t="n"/>
      <c r="M66" s="191" t="n"/>
      <c r="N66" s="191" t="n"/>
      <c r="O66" s="192" t="n"/>
      <c r="P66" s="191" t="n"/>
      <c r="Q66" s="49" t="n">
        <v>68257</v>
      </c>
      <c r="R66" s="40" t="n">
        <v>21</v>
      </c>
      <c r="S66" s="58" t="inlineStr">
        <is>
          <t>#28631</t>
        </is>
      </c>
      <c r="T66" s="28">
        <f>+R66*J66</f>
        <v/>
      </c>
      <c r="U66" s="28" t="n"/>
      <c r="V66" s="56" t="n">
        <v>254718</v>
      </c>
      <c r="W66" s="58" t="n"/>
      <c r="X66" s="36" t="n"/>
      <c r="Y66" s="36" t="n"/>
    </row>
    <row r="67">
      <c r="T67" s="28">
        <f>+R67*J67</f>
        <v/>
      </c>
    </row>
    <row r="68">
      <c r="B68" s="10" t="inlineStr">
        <is>
          <t> </t>
        </is>
      </c>
      <c r="C68" s="11" t="inlineStr">
        <is>
          <t> </t>
        </is>
      </c>
      <c r="D68" s="11" t="inlineStr">
        <is>
          <t> </t>
        </is>
      </c>
      <c r="E68" s="13" t="inlineStr">
        <is>
          <t> </t>
        </is>
      </c>
      <c r="F68" s="13" t="inlineStr">
        <is>
          <t> </t>
        </is>
      </c>
      <c r="G68" s="10" t="inlineStr">
        <is>
          <t> </t>
        </is>
      </c>
      <c r="H68" s="30" t="inlineStr">
        <is>
          <t> </t>
        </is>
      </c>
      <c r="I68" s="11" t="inlineStr">
        <is>
          <t> </t>
        </is>
      </c>
      <c r="J68" s="200" t="n"/>
      <c r="K68" s="201" t="n"/>
      <c r="L68" s="201" t="n"/>
      <c r="M68" s="201" t="n"/>
      <c r="N68" s="201" t="n"/>
      <c r="O68" s="202" t="n"/>
      <c r="P68" s="201" t="n"/>
      <c r="Q68" s="26" t="inlineStr">
        <is>
          <t> </t>
        </is>
      </c>
      <c r="R68" s="11">
        <f>SUM(R29:R66)</f>
        <v/>
      </c>
      <c r="S68" s="10" t="inlineStr">
        <is>
          <t> </t>
        </is>
      </c>
      <c r="T68" s="22">
        <f>SUM(T17:T66)</f>
        <v/>
      </c>
      <c r="U68" s="22">
        <f>SUM(#REF!)</f>
        <v/>
      </c>
      <c r="V68" s="55" t="n"/>
      <c r="W68" s="30" t="n"/>
      <c r="X68" s="36" t="n"/>
      <c r="Y68" s="36" t="n"/>
    </row>
    <row r="69">
      <c r="B69" s="16" t="inlineStr">
        <is>
          <t>buy/sell</t>
        </is>
      </c>
      <c r="C69" s="17" t="inlineStr">
        <is>
          <t>pipe</t>
        </is>
      </c>
      <c r="D69" s="17" t="inlineStr">
        <is>
          <t>customer</t>
        </is>
      </c>
      <c r="E69" s="18" t="inlineStr">
        <is>
          <t>dates</t>
        </is>
      </c>
      <c r="F69" s="18" t="n"/>
      <c r="G69" s="16" t="inlineStr">
        <is>
          <t>rec</t>
        </is>
      </c>
      <c r="H69" s="16" t="inlineStr">
        <is>
          <t>del</t>
        </is>
      </c>
      <c r="I69" s="17" t="inlineStr">
        <is>
          <t>Type</t>
        </is>
      </c>
      <c r="J69" s="195" t="inlineStr">
        <is>
          <t>dem</t>
        </is>
      </c>
      <c r="K69" s="17" t="inlineStr">
        <is>
          <t>com</t>
        </is>
      </c>
      <c r="L69" s="17" t="inlineStr">
        <is>
          <t>aca</t>
        </is>
      </c>
      <c r="M69" s="17" t="inlineStr">
        <is>
          <t>gri</t>
        </is>
      </c>
      <c r="N69" s="17" t="inlineStr">
        <is>
          <t>s/c</t>
        </is>
      </c>
      <c r="O69" s="196" t="inlineStr">
        <is>
          <t>fuel %</t>
        </is>
      </c>
      <c r="P69" s="17" t="inlineStr">
        <is>
          <t>total</t>
        </is>
      </c>
      <c r="Q69" s="20" t="inlineStr">
        <is>
          <t>New K#</t>
        </is>
      </c>
      <c r="R69" s="17" t="inlineStr">
        <is>
          <t>vol</t>
        </is>
      </c>
      <c r="S69" s="16" t="inlineStr">
        <is>
          <t>comment</t>
        </is>
      </c>
      <c r="T69" s="21" t="inlineStr">
        <is>
          <t>Est Demand</t>
        </is>
      </c>
      <c r="U69" s="21" t="inlineStr">
        <is>
          <t>Act Demand</t>
        </is>
      </c>
      <c r="V69" s="54" t="inlineStr">
        <is>
          <t>New Sitara</t>
        </is>
      </c>
      <c r="W69" s="59">
        <f>+W36</f>
        <v/>
      </c>
      <c r="X69" s="36" t="n"/>
      <c r="Y69" s="36" t="n"/>
    </row>
    <row r="70" ht="12" customFormat="1" customHeight="1" s="62">
      <c r="B70" s="58" t="inlineStr">
        <is>
          <t>ENA</t>
        </is>
      </c>
      <c r="C70" s="40" t="inlineStr">
        <is>
          <t>Equit</t>
        </is>
      </c>
      <c r="D70" s="40" t="inlineStr">
        <is>
          <t>Envirogas</t>
        </is>
      </c>
      <c r="E70" s="4" t="n">
        <v>35612</v>
      </c>
      <c r="F70" s="4" t="n">
        <v>37437</v>
      </c>
      <c r="G70" s="60" t="inlineStr">
        <is>
          <t>11089</t>
        </is>
      </c>
      <c r="H70" s="58" t="inlineStr">
        <is>
          <t>TEPE 0144</t>
        </is>
      </c>
      <c r="I70" s="40" t="inlineStr">
        <is>
          <t>FTS</t>
        </is>
      </c>
      <c r="J70" s="193">
        <f>+(5.6195+1.3875+0.2)/J$1</f>
        <v/>
      </c>
      <c r="K70" s="191" t="n">
        <v>0</v>
      </c>
      <c r="L70" s="191" t="n">
        <v>0.0022</v>
      </c>
      <c r="M70" s="191" t="n">
        <v>0.0072</v>
      </c>
      <c r="N70" s="191" t="n">
        <v>0</v>
      </c>
      <c r="O70" s="192" t="n">
        <v>0</v>
      </c>
      <c r="P70" s="191">
        <f>SUM(J70:N70)</f>
        <v/>
      </c>
      <c r="Q70" s="49" t="n">
        <v>270</v>
      </c>
      <c r="R70" s="40" t="n">
        <v>1000</v>
      </c>
      <c r="S70" s="58" t="n"/>
      <c r="T70" s="28">
        <f>J70*J$1*R70</f>
        <v/>
      </c>
      <c r="U70" s="28" t="n"/>
      <c r="V70" s="56" t="n">
        <v>149901</v>
      </c>
      <c r="W70" s="58" t="inlineStr">
        <is>
          <t>Month to Month</t>
        </is>
      </c>
      <c r="X70" s="36" t="n"/>
      <c r="Y70" s="36" t="n"/>
    </row>
    <row r="71" ht="12" customFormat="1" customHeight="1" s="62">
      <c r="B71" s="58" t="n"/>
      <c r="C71" s="40" t="n"/>
      <c r="D71" s="40" t="n"/>
      <c r="E71" s="4" t="n"/>
      <c r="F71" s="4" t="n"/>
      <c r="G71" s="60" t="n"/>
      <c r="H71" s="60" t="n"/>
      <c r="I71" s="40" t="n"/>
      <c r="J71" s="193" t="n"/>
      <c r="K71" s="191" t="n"/>
      <c r="L71" s="191" t="n"/>
      <c r="M71" s="191" t="n"/>
      <c r="N71" s="191" t="n"/>
      <c r="O71" s="192" t="n"/>
      <c r="P71" s="191" t="n"/>
      <c r="Q71" s="49" t="n"/>
      <c r="R71" s="40" t="n"/>
      <c r="S71" s="58" t="n"/>
      <c r="T71" s="28">
        <f>SUM(T70)</f>
        <v/>
      </c>
      <c r="U71" s="28" t="n"/>
      <c r="V71" s="56" t="n"/>
      <c r="W71" s="58" t="n"/>
      <c r="X71" s="36" t="n"/>
      <c r="Y71" s="36" t="n"/>
    </row>
    <row r="72">
      <c r="B72" s="61" t="n"/>
      <c r="C72" s="40" t="n"/>
      <c r="D72" s="40" t="n"/>
      <c r="E72" s="4" t="n"/>
      <c r="F72" s="4" t="n"/>
      <c r="G72" s="58" t="n"/>
      <c r="H72" s="58" t="n"/>
      <c r="I72" s="40" t="n"/>
      <c r="J72" s="191" t="n"/>
      <c r="K72" s="191" t="n"/>
      <c r="L72" s="191" t="n"/>
      <c r="M72" s="191" t="n"/>
      <c r="N72" s="191" t="n"/>
      <c r="O72" s="192" t="n"/>
      <c r="P72" s="191" t="n"/>
      <c r="Q72" s="49" t="n"/>
      <c r="R72" s="50" t="n"/>
      <c r="S72" s="28" t="n"/>
      <c r="T72" s="28" t="n"/>
      <c r="U72" s="28" t="n"/>
      <c r="V72" s="56" t="n"/>
      <c r="W72" s="58" t="n"/>
      <c r="X72" s="36" t="n"/>
      <c r="Y72" s="36" t="n"/>
    </row>
    <row r="73">
      <c r="B73" s="61" t="n"/>
      <c r="C73" s="40" t="n"/>
      <c r="D73" s="40" t="n"/>
      <c r="E73" s="4" t="n"/>
      <c r="F73" s="4" t="n"/>
      <c r="G73" s="58" t="n"/>
      <c r="H73" s="58" t="n"/>
      <c r="I73" s="40" t="n"/>
      <c r="J73" s="193" t="n"/>
      <c r="K73" s="191" t="n"/>
      <c r="L73" s="191" t="n"/>
      <c r="M73" s="191" t="n"/>
      <c r="N73" s="191" t="n"/>
      <c r="O73" s="192" t="n"/>
      <c r="P73" s="191" t="n"/>
      <c r="Q73" s="49" t="n"/>
      <c r="R73" s="50" t="n"/>
      <c r="S73" s="28" t="n"/>
      <c r="T73" s="28" t="n"/>
      <c r="U73" s="28" t="n"/>
      <c r="V73" s="56" t="n"/>
      <c r="W73" s="58" t="n"/>
      <c r="X73" s="36" t="n"/>
      <c r="Y73" s="36" t="n"/>
    </row>
    <row r="74" ht="13.5" customHeight="1" s="51" thickBot="1">
      <c r="B74" s="61" t="n"/>
      <c r="C74" s="40" t="n"/>
      <c r="D74" s="40" t="n"/>
      <c r="E74" s="4" t="n"/>
      <c r="F74" s="4" t="n"/>
      <c r="G74" s="58" t="n"/>
      <c r="H74" s="58" t="n"/>
      <c r="I74" s="40" t="n"/>
      <c r="J74" s="191" t="n"/>
      <c r="K74" s="191" t="n"/>
      <c r="L74" s="191" t="n"/>
      <c r="M74" s="191" t="n"/>
      <c r="N74" s="191" t="n"/>
      <c r="O74" s="192" t="n"/>
      <c r="P74" s="191" t="n"/>
      <c r="Q74" s="49" t="n"/>
      <c r="R74" s="50" t="n"/>
      <c r="S74" s="28" t="n"/>
      <c r="T74" s="142">
        <f>SUM(T71,T68,T15,)</f>
        <v/>
      </c>
      <c r="U74" s="28" t="inlineStr">
        <is>
          <t>Deal 211642</t>
        </is>
      </c>
      <c r="V74" s="56" t="n"/>
      <c r="W74" s="58" t="n"/>
      <c r="X74" s="36" t="n"/>
      <c r="Y74" s="36" t="n"/>
    </row>
    <row r="75" ht="13.5" customHeight="1" s="51" thickTop="1">
      <c r="B75" s="61" t="n"/>
      <c r="C75" s="40" t="n"/>
      <c r="D75" s="40" t="n"/>
      <c r="E75" s="4" t="n"/>
      <c r="F75" s="4" t="n"/>
      <c r="G75" s="58" t="n"/>
      <c r="H75" s="58" t="n"/>
      <c r="I75" s="40" t="n"/>
      <c r="J75" s="191" t="n"/>
      <c r="K75" s="191" t="n"/>
      <c r="L75" s="191" t="n"/>
      <c r="M75" s="191" t="n"/>
      <c r="N75" s="191" t="n"/>
      <c r="O75" s="192" t="n"/>
      <c r="P75" s="191" t="n"/>
      <c r="Q75" s="49" t="n"/>
      <c r="R75" s="50" t="n"/>
      <c r="S75" s="28" t="n"/>
      <c r="T75" s="28" t="n"/>
      <c r="U75" s="58" t="inlineStr">
        <is>
          <t>100% Reimbursed from CES</t>
        </is>
      </c>
      <c r="V75" s="56" t="n"/>
      <c r="W75" s="58" t="n"/>
      <c r="X75" s="40" t="n"/>
      <c r="Y75" s="36" t="n"/>
    </row>
    <row r="76">
      <c r="B76" s="61" t="n"/>
      <c r="C76" s="40" t="n"/>
      <c r="D76" s="40" t="n"/>
      <c r="E76" s="4" t="n"/>
      <c r="F76" s="4" t="n"/>
      <c r="G76" s="58" t="n"/>
      <c r="H76" s="58" t="n"/>
      <c r="I76" s="40" t="n"/>
      <c r="J76" s="191" t="n"/>
      <c r="K76" s="191" t="n"/>
      <c r="L76" s="191" t="n"/>
      <c r="M76" s="191" t="n"/>
      <c r="N76" s="191" t="n"/>
      <c r="O76" s="192" t="n"/>
      <c r="P76" s="191" t="n"/>
      <c r="Q76" s="49" t="n"/>
      <c r="R76" s="50" t="n"/>
      <c r="S76" s="28" t="n"/>
      <c r="T76" s="28" t="n"/>
      <c r="U76" s="28" t="n"/>
      <c r="V76" s="56" t="n"/>
      <c r="W76" s="58" t="n"/>
      <c r="X76" s="36" t="n"/>
      <c r="Y76" s="36" t="n"/>
    </row>
    <row r="77">
      <c r="B77" s="61" t="n"/>
      <c r="C77" s="40" t="n"/>
      <c r="D77" s="40" t="n"/>
      <c r="E77" s="4" t="n"/>
      <c r="F77" s="4" t="n"/>
      <c r="G77" s="58" t="n"/>
      <c r="H77" s="58" t="n"/>
      <c r="I77" s="40" t="n"/>
      <c r="J77" s="191" t="n"/>
      <c r="K77" s="191" t="n"/>
      <c r="L77" s="191" t="n"/>
      <c r="M77" s="191" t="n"/>
      <c r="N77" s="191" t="n"/>
      <c r="O77" s="192" t="n"/>
      <c r="P77" s="191" t="n"/>
      <c r="Q77" s="49" t="n"/>
      <c r="R77" s="50" t="n"/>
      <c r="S77" s="28" t="n"/>
      <c r="T77" s="28" t="n"/>
      <c r="U77" s="28" t="n"/>
      <c r="V77" s="56" t="n"/>
      <c r="W77" s="58" t="n"/>
      <c r="X77" s="36" t="n"/>
      <c r="Y77" s="36" t="n"/>
    </row>
    <row r="78">
      <c r="B78" s="61" t="n"/>
      <c r="C78" s="40" t="n"/>
      <c r="D78" s="40" t="n"/>
      <c r="E78" s="4" t="n"/>
      <c r="F78" s="4" t="n"/>
      <c r="G78" s="58" t="n"/>
      <c r="H78" s="58" t="n"/>
      <c r="I78" s="40" t="n"/>
      <c r="J78" s="193" t="n"/>
      <c r="K78" s="191" t="n"/>
      <c r="L78" s="191" t="n"/>
      <c r="M78" s="191" t="n"/>
      <c r="N78" s="191" t="n"/>
      <c r="O78" s="192" t="n"/>
      <c r="P78" s="191" t="n"/>
      <c r="Q78" s="49" t="n"/>
      <c r="R78" s="50" t="n"/>
      <c r="S78" s="40" t="n"/>
      <c r="T78" s="28" t="n"/>
      <c r="U78" s="28" t="n"/>
      <c r="V78" s="56" t="n"/>
      <c r="W78" s="58" t="n"/>
      <c r="X78" s="36" t="n"/>
      <c r="Y78" s="36" t="n"/>
    </row>
    <row r="79">
      <c r="B79" s="61" t="n"/>
      <c r="C79" s="40" t="n"/>
      <c r="D79" s="40" t="n"/>
      <c r="E79" s="4" t="n"/>
      <c r="F79" s="4" t="n"/>
      <c r="G79" s="58" t="n"/>
      <c r="H79" s="58" t="n"/>
      <c r="I79" s="40" t="n"/>
      <c r="J79" s="193" t="n"/>
      <c r="K79" s="191" t="n"/>
      <c r="L79" s="191" t="n"/>
      <c r="M79" s="191" t="n"/>
      <c r="N79" s="191" t="n"/>
      <c r="O79" s="192" t="n"/>
      <c r="P79" s="191" t="n"/>
      <c r="Q79" s="49" t="n"/>
      <c r="R79" s="50" t="n"/>
      <c r="S79" s="40" t="n"/>
      <c r="T79" s="28" t="n"/>
      <c r="U79" s="28" t="n"/>
      <c r="V79" s="56" t="n"/>
      <c r="W79" s="58" t="n"/>
      <c r="X79" s="36" t="n"/>
      <c r="Y79" s="36" t="n"/>
    </row>
    <row r="80">
      <c r="W80" s="61" t="n"/>
    </row>
    <row r="81">
      <c r="W81" s="61" t="n"/>
    </row>
  </sheetData>
  <pageMargins left="0.75" right="0.75" top="1" bottom="1" header="0.5" footer="0.5"/>
  <pageSetup orientation="landscape" paperSize="5" scale="70" fitToHeight="0"/>
  <headerFooter alignWithMargins="0">
    <oddHeader/>
    <oddFooter>&amp;L&amp;F  &amp;A&amp;R&amp;D   &amp;T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ECT</dc:creator>
  <dcterms:created xsi:type="dcterms:W3CDTF">1998-07-21T12:15:25Z</dcterms:created>
  <dcterms:modified xsi:type="dcterms:W3CDTF">2025-09-29T13:55:07Z</dcterms:modified>
  <cp:lastModifiedBy>Felienne</cp:lastModifiedBy>
  <cp:lastPrinted>2000-07-10T18:35:53Z</cp:lastPrinted>
</cp:coreProperties>
</file>