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415" yWindow="150" windowWidth="8670" windowHeight="7935" tabRatio="602" firstSheet="0" activeTab="0" autoFilterDateGrouping="1"/>
  </bookViews>
  <sheets>
    <sheet name="Pricing" sheetId="1" state="visible" r:id="rId1"/>
    <sheet name="CES Retail East" sheetId="2" state="visible" r:id="rId2"/>
    <sheet name="CES Retail Mrkt" sheetId="3" state="visible" r:id="rId3"/>
  </sheets>
  <definedNames>
    <definedName name="_xlnm.Print_Area" localSheetId="1">'CES Retail East'!$A$1:$AC$93</definedName>
    <definedName name="_xlnm.Print_Area" localSheetId="2">'CES Retail Mrkt'!$A$18:$W$67</definedName>
  </definedNames>
  <calcPr calcId="152511" fullCalcOnLoad="1" iterate="1" iterateCount="20" iterateDelta="0.01"/>
</workbook>
</file>

<file path=xl/styles.xml><?xml version="1.0" encoding="utf-8"?>
<styleSheet xmlns="http://schemas.openxmlformats.org/spreadsheetml/2006/main">
  <numFmts count="10">
    <numFmt numFmtId="164" formatCode="&quot;$&quot;#,##0.0000_);[Red]\(&quot;$&quot;#,##0.0000\)"/>
    <numFmt numFmtId="165" formatCode="#,##0.00000"/>
    <numFmt numFmtId="166" formatCode="0.000%"/>
    <numFmt numFmtId="167" formatCode="_(* #,##0_);_(* \(#,##0\);_(* &quot;-&quot;??_);_(@_)"/>
    <numFmt numFmtId="168" formatCode="&quot;$&quot;#,##0.0000_);\(&quot;$&quot;#,##0.0000\)"/>
    <numFmt numFmtId="169" formatCode="_(&quot;$&quot;* #,##0.0000_);_(&quot;$&quot;* \(#,##0.0000\);_(&quot;$&quot;* &quot;-&quot;??_);_(@_)"/>
    <numFmt numFmtId="170" formatCode="_(&quot;$&quot;* #,##0.00_);_(&quot;$&quot;* \(#,##0.00\);_(&quot;$&quot;* &quot;-&quot;??_);_(@_)"/>
    <numFmt numFmtId="171" formatCode="&quot;$&quot;#,##0.00_);\(&quot;$&quot;#,##0.00\)"/>
    <numFmt numFmtId="172" formatCode="0.0000%"/>
    <numFmt numFmtId="173" formatCode="0.0000"/>
  </numFmts>
  <fonts count="12">
    <font>
      <name val="Arial"/>
      <sz val="10"/>
    </font>
    <font>
      <name val="Arial"/>
      <sz val="10"/>
    </font>
    <font>
      <name val="Arial"/>
      <family val="2"/>
      <sz val="8"/>
    </font>
    <font>
      <name val="Arial"/>
      <b val="1"/>
      <sz val="8"/>
    </font>
    <font>
      <name val="Arial"/>
      <b val="1"/>
      <sz val="8"/>
      <u val="single"/>
    </font>
    <font>
      <name val="Arial"/>
      <family val="2"/>
      <b val="1"/>
      <sz val="8"/>
    </font>
    <font>
      <name val="Arial"/>
      <family val="2"/>
      <sz val="10"/>
    </font>
    <font>
      <name val="Arial"/>
      <sz val="9"/>
    </font>
    <font>
      <name val="Arial"/>
      <b val="1"/>
      <sz val="9"/>
    </font>
    <font>
      <name val="Arial"/>
      <family val="2"/>
      <b val="1"/>
      <sz val="9"/>
    </font>
    <font>
      <name val="Arial"/>
      <family val="2"/>
      <sz val="9"/>
    </font>
    <font>
      <name val="Arial"/>
      <family val="2"/>
      <b val="1"/>
      <sz val="10"/>
    </font>
  </fonts>
  <fills count="6">
    <fill>
      <patternFill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1" fillId="0" borderId="0"/>
    <xf numFmtId="43" fontId="1" fillId="0" borderId="0"/>
    <xf numFmtId="44" fontId="1" fillId="0" borderId="0"/>
    <xf numFmtId="9" fontId="1" fillId="0" borderId="0"/>
  </cellStyleXfs>
  <cellXfs count="165">
    <xf numFmtId="0" fontId="0" fillId="0" borderId="0" pivotButton="0" quotePrefix="0" xfId="0"/>
    <xf numFmtId="38" fontId="2" fillId="0" borderId="0" applyAlignment="1" pivotButton="0" quotePrefix="0" xfId="0">
      <alignment horizontal="left"/>
    </xf>
    <xf numFmtId="38" fontId="3" fillId="0" borderId="0" applyAlignment="1" pivotButton="0" quotePrefix="0" xfId="0">
      <alignment horizontal="center"/>
    </xf>
    <xf numFmtId="38" fontId="2" fillId="0" borderId="0" applyAlignment="1" pivotButton="0" quotePrefix="0" xfId="0">
      <alignment horizontal="center"/>
    </xf>
    <xf numFmtId="14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38" fontId="3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center"/>
    </xf>
    <xf numFmtId="165" fontId="2" fillId="0" borderId="0" applyAlignment="1" pivotButton="0" quotePrefix="0" xfId="0">
      <alignment horizontal="center"/>
    </xf>
    <xf numFmtId="38" fontId="2" fillId="0" borderId="0" applyAlignment="1" pivotButton="0" quotePrefix="0" xfId="0">
      <alignment horizontal="right"/>
    </xf>
    <xf numFmtId="38" fontId="2" fillId="0" borderId="1" applyAlignment="1" pivotButton="0" quotePrefix="0" xfId="0">
      <alignment horizontal="left"/>
    </xf>
    <xf numFmtId="38" fontId="3" fillId="0" borderId="1" applyAlignment="1" pivotButton="0" quotePrefix="0" xfId="0">
      <alignment horizontal="center"/>
    </xf>
    <xf numFmtId="38" fontId="2" fillId="0" borderId="1" applyAlignment="1" pivotButton="0" quotePrefix="0" xfId="0">
      <alignment horizontal="center"/>
    </xf>
    <xf numFmtId="14" fontId="2" fillId="0" borderId="1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16" fontId="4" fillId="0" borderId="0" applyAlignment="1" pivotButton="0" quotePrefix="0" xfId="0">
      <alignment horizontal="left"/>
    </xf>
    <xf numFmtId="16" fontId="4" fillId="0" borderId="0" applyAlignment="1" pivotButton="0" quotePrefix="0" xfId="0">
      <alignment horizontal="center"/>
    </xf>
    <xf numFmtId="14" fontId="4" fillId="0" borderId="0" applyAlignment="1" pivotButton="0" quotePrefix="0" xfId="0">
      <alignment horizontal="center"/>
    </xf>
    <xf numFmtId="165" fontId="4" fillId="0" borderId="0" applyAlignment="1" pivotButton="0" quotePrefix="0" xfId="0">
      <alignment horizontal="center"/>
    </xf>
    <xf numFmtId="1" fontId="4" fillId="0" borderId="0" applyAlignment="1" pivotButton="0" quotePrefix="0" xfId="0">
      <alignment horizontal="center"/>
    </xf>
    <xf numFmtId="38" fontId="4" fillId="0" borderId="0" applyAlignment="1" pivotButton="0" quotePrefix="0" xfId="0">
      <alignment horizontal="right"/>
    </xf>
    <xf numFmtId="38" fontId="3" fillId="0" borderId="1" applyAlignment="1" pivotButton="0" quotePrefix="0" xfId="0">
      <alignment horizontal="right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0" fillId="0" borderId="0" pivotButton="0" quotePrefix="0" xfId="0"/>
    <xf numFmtId="1" fontId="3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38" fontId="2" fillId="0" borderId="0" applyAlignment="1" pivotButton="0" quotePrefix="0" xfId="0">
      <alignment horizontal="right"/>
    </xf>
    <xf numFmtId="38" fontId="2" fillId="0" borderId="0" applyAlignment="1" pivotButton="0" quotePrefix="1" xfId="0">
      <alignment horizontal="left"/>
    </xf>
    <xf numFmtId="38" fontId="3" fillId="0" borderId="1" applyAlignment="1" pivotButton="0" quotePrefix="0" xfId="0">
      <alignment horizontal="left"/>
    </xf>
    <xf numFmtId="164" fontId="3" fillId="0" borderId="0" applyAlignment="1" pivotButton="0" quotePrefix="0" xfId="0">
      <alignment horizontal="center"/>
    </xf>
    <xf numFmtId="49" fontId="3" fillId="0" borderId="0" applyAlignment="1" pivotButton="0" quotePrefix="0" xfId="0">
      <alignment horizontal="left"/>
    </xf>
    <xf numFmtId="38" fontId="3" fillId="0" borderId="0" applyAlignment="1" pivotButton="0" quotePrefix="0" xfId="0">
      <alignment horizontal="right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0" fillId="0" borderId="0" pivotButton="0" quotePrefix="0" xfId="0"/>
    <xf numFmtId="38" fontId="2" fillId="0" borderId="0" applyAlignment="1" pivotButton="0" quotePrefix="1" xfId="0">
      <alignment horizontal="right"/>
    </xf>
    <xf numFmtId="38" fontId="2" fillId="0" borderId="0" applyAlignment="1" pivotButton="0" quotePrefix="0" xfId="0">
      <alignment horizontal="center"/>
    </xf>
    <xf numFmtId="38" fontId="5" fillId="0" borderId="0" applyAlignment="1" pivotButton="0" quotePrefix="0" xfId="0">
      <alignment horizontal="left"/>
    </xf>
    <xf numFmtId="166" fontId="2" fillId="0" borderId="0" applyAlignment="1" pivotButton="0" quotePrefix="0" xfId="0">
      <alignment horizontal="center"/>
    </xf>
    <xf numFmtId="166" fontId="4" fillId="0" borderId="0" applyAlignment="1" pivotButton="0" quotePrefix="0" xfId="0">
      <alignment horizontal="center"/>
    </xf>
    <xf numFmtId="166" fontId="2" fillId="0" borderId="1" applyAlignment="1" pivotButton="0" quotePrefix="0" xfId="0">
      <alignment horizontal="center"/>
    </xf>
    <xf numFmtId="166" fontId="2" fillId="0" borderId="0" applyAlignment="1" pivotButton="0" quotePrefix="1" xfId="0">
      <alignment horizontal="left"/>
    </xf>
    <xf numFmtId="166" fontId="0" fillId="0" borderId="0" pivotButton="0" quotePrefix="0" xfId="0"/>
    <xf numFmtId="164" fontId="5" fillId="0" borderId="0" applyAlignment="1" pivotButton="0" quotePrefix="0" xfId="0">
      <alignment horizontal="left"/>
    </xf>
    <xf numFmtId="1" fontId="2" fillId="0" borderId="0" applyAlignment="1" pivotButton="0" quotePrefix="0" xfId="0">
      <alignment horizontal="center"/>
    </xf>
    <xf numFmtId="38" fontId="3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2" fillId="0" borderId="0" applyAlignment="1" pivotButton="0" quotePrefix="1" xfId="0">
      <alignment horizontal="right"/>
    </xf>
    <xf numFmtId="38" fontId="2" fillId="0" borderId="0" applyAlignment="1" pivotButton="0" quotePrefix="0" xfId="0">
      <alignment horizontal="left"/>
    </xf>
    <xf numFmtId="38" fontId="4" fillId="0" borderId="0" applyAlignment="1" pivotButton="0" quotePrefix="0" xfId="0">
      <alignment horizontal="left"/>
    </xf>
    <xf numFmtId="38" fontId="2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167" fontId="7" fillId="0" borderId="0" pivotButton="0" quotePrefix="0" xfId="1"/>
    <xf numFmtId="168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0" pivotButton="0" quotePrefix="0" xfId="0"/>
    <xf numFmtId="168" fontId="7" fillId="0" borderId="0" pivotButton="0" quotePrefix="0" xfId="0"/>
    <xf numFmtId="10" fontId="7" fillId="0" borderId="0" pivotButton="0" quotePrefix="0" xfId="3"/>
    <xf numFmtId="38" fontId="0" fillId="0" borderId="0" pivotButton="0" quotePrefix="0" xfId="0"/>
    <xf numFmtId="167" fontId="0" fillId="0" borderId="0" applyAlignment="1" pivotButton="0" quotePrefix="0" xfId="1">
      <alignment horizontal="center"/>
    </xf>
    <xf numFmtId="167" fontId="0" fillId="0" borderId="0" pivotButton="0" quotePrefix="0" xfId="1"/>
    <xf numFmtId="167" fontId="0" fillId="0" borderId="2" applyAlignment="1" pivotButton="0" quotePrefix="0" xfId="1">
      <alignment horizontal="center"/>
    </xf>
    <xf numFmtId="167" fontId="0" fillId="0" borderId="3" applyAlignment="1" pivotButton="0" quotePrefix="0" xfId="1">
      <alignment horizontal="center"/>
    </xf>
    <xf numFmtId="167" fontId="0" fillId="0" borderId="0" applyAlignment="1" pivotButton="0" quotePrefix="0" xfId="1">
      <alignment horizontal="center"/>
    </xf>
    <xf numFmtId="167" fontId="0" fillId="0" borderId="4" applyAlignment="1" pivotButton="0" quotePrefix="0" xfId="1">
      <alignment horizontal="center"/>
    </xf>
    <xf numFmtId="167" fontId="0" fillId="0" borderId="5" applyAlignment="1" pivotButton="0" quotePrefix="0" xfId="1">
      <alignment horizontal="center"/>
    </xf>
    <xf numFmtId="167" fontId="0" fillId="0" borderId="6" applyAlignment="1" pivotButton="0" quotePrefix="0" xfId="1">
      <alignment horizontal="center"/>
    </xf>
    <xf numFmtId="167" fontId="0" fillId="0" borderId="7" applyAlignment="1" pivotButton="0" quotePrefix="0" xfId="1">
      <alignment horizontal="center"/>
    </xf>
    <xf numFmtId="169" fontId="0" fillId="0" borderId="0" applyAlignment="1" pivotButton="0" quotePrefix="0" xfId="2">
      <alignment horizontal="center"/>
    </xf>
    <xf numFmtId="170" fontId="0" fillId="0" borderId="0" applyAlignment="1" pivotButton="0" quotePrefix="0" xfId="2">
      <alignment horizontal="center"/>
    </xf>
    <xf numFmtId="167" fontId="0" fillId="0" borderId="8" applyAlignment="1" pivotButton="0" quotePrefix="0" xfId="1">
      <alignment horizontal="center"/>
    </xf>
    <xf numFmtId="38" fontId="2" fillId="0" borderId="9" applyAlignment="1" pivotButton="0" quotePrefix="0" xfId="0">
      <alignment horizontal="right"/>
    </xf>
    <xf numFmtId="171" fontId="7" fillId="0" borderId="0" pivotButton="0" quotePrefix="0" xfId="0"/>
    <xf numFmtId="166" fontId="7" fillId="0" borderId="0" pivotButton="0" quotePrefix="0" xfId="3"/>
    <xf numFmtId="167" fontId="7" fillId="0" borderId="0" pivotButton="0" quotePrefix="0" xfId="0"/>
    <xf numFmtId="166" fontId="7" fillId="0" borderId="0" pivotButton="0" quotePrefix="0" xfId="3"/>
    <xf numFmtId="169" fontId="0" fillId="0" borderId="0" pivotButton="0" quotePrefix="0" xfId="2"/>
    <xf numFmtId="0" fontId="11" fillId="0" borderId="0" pivotButton="0" quotePrefix="0" xfId="0"/>
    <xf numFmtId="169" fontId="11" fillId="0" borderId="0" pivotButton="0" quotePrefix="0" xfId="2"/>
    <xf numFmtId="0" fontId="0" fillId="0" borderId="0" applyAlignment="1" applyProtection="1" pivotButton="0" quotePrefix="0" xfId="0">
      <alignment vertical="top"/>
      <protection locked="0" hidden="0"/>
    </xf>
    <xf numFmtId="9" fontId="7" fillId="0" borderId="0" pivotButton="0" quotePrefix="0" xfId="3"/>
    <xf numFmtId="167" fontId="7" fillId="0" borderId="0" pivotButton="0" quotePrefix="0" xfId="1"/>
    <xf numFmtId="0" fontId="10" fillId="0" borderId="0" applyAlignment="1" pivotButton="0" quotePrefix="0" xfId="0">
      <alignment horizontal="right"/>
    </xf>
    <xf numFmtId="43" fontId="0" fillId="0" borderId="0" applyAlignment="1" applyProtection="1" pivotButton="0" quotePrefix="0" xfId="1">
      <alignment vertical="top"/>
      <protection locked="0" hidden="0"/>
    </xf>
    <xf numFmtId="0" fontId="0" fillId="2" borderId="0" applyAlignment="1" pivotButton="0" quotePrefix="0" xfId="0">
      <alignment wrapText="1"/>
    </xf>
    <xf numFmtId="14" fontId="0" fillId="2" borderId="0" applyAlignment="1" pivotButton="0" quotePrefix="0" xfId="0">
      <alignment wrapText="1"/>
    </xf>
    <xf numFmtId="0" fontId="0" fillId="3" borderId="0" applyAlignment="1" pivotButton="0" quotePrefix="0" xfId="0">
      <alignment wrapText="1"/>
    </xf>
    <xf numFmtId="14" fontId="0" fillId="3" borderId="0" applyAlignment="1" pivotButton="0" quotePrefix="0" xfId="0">
      <alignment wrapText="1"/>
    </xf>
    <xf numFmtId="3" fontId="0" fillId="3" borderId="0" applyAlignment="1" pivotButton="0" quotePrefix="0" xfId="0">
      <alignment wrapText="1"/>
    </xf>
    <xf numFmtId="3" fontId="0" fillId="2" borderId="0" applyAlignment="1" pivotButton="0" quotePrefix="0" xfId="0">
      <alignment wrapText="1"/>
    </xf>
    <xf numFmtId="168" fontId="7" fillId="0" borderId="9" pivotButton="0" quotePrefix="0" xfId="0"/>
    <xf numFmtId="0" fontId="7" fillId="0" borderId="0" applyAlignment="1" pivotButton="0" quotePrefix="0" xfId="0">
      <alignment horizontal="center"/>
    </xf>
    <xf numFmtId="0" fontId="0" fillId="0" borderId="0" applyAlignment="1" applyProtection="1" pivotButton="0" quotePrefix="0" xfId="0">
      <alignment vertical="top"/>
      <protection locked="0" hidden="0"/>
    </xf>
    <xf numFmtId="172" fontId="7" fillId="0" borderId="0" pivotButton="0" quotePrefix="0" xfId="3"/>
    <xf numFmtId="38" fontId="2" fillId="4" borderId="9" applyAlignment="1" pivotButton="0" quotePrefix="0" xfId="0">
      <alignment horizontal="right"/>
    </xf>
    <xf numFmtId="40" fontId="2" fillId="0" borderId="0" applyAlignment="1" pivotButton="0" quotePrefix="0" xfId="0">
      <alignment horizontal="right"/>
    </xf>
    <xf numFmtId="38" fontId="2" fillId="0" borderId="0" applyAlignment="1" pivotButton="0" quotePrefix="1" xfId="0">
      <alignment horizontal="center"/>
    </xf>
    <xf numFmtId="14" fontId="2" fillId="0" borderId="0" applyAlignment="1" pivotButton="0" quotePrefix="0" xfId="0">
      <alignment horizontal="center"/>
    </xf>
    <xf numFmtId="165" fontId="2" fillId="0" borderId="0" applyAlignment="1" pivotButton="0" quotePrefix="0" xfId="0">
      <alignment horizontal="center"/>
    </xf>
    <xf numFmtId="166" fontId="2" fillId="0" borderId="0" applyAlignment="1" pivotButton="0" quotePrefix="0" xfId="0">
      <alignment horizontal="center"/>
    </xf>
    <xf numFmtId="0" fontId="6" fillId="0" borderId="0" pivotButton="0" quotePrefix="0" xfId="0"/>
    <xf numFmtId="10" fontId="7" fillId="0" borderId="0" pivotButton="0" quotePrefix="0" xfId="3"/>
    <xf numFmtId="168" fontId="7" fillId="0" borderId="10" pivotButton="0" quotePrefix="0" xfId="0"/>
    <xf numFmtId="172" fontId="7" fillId="0" borderId="0" pivotButton="0" quotePrefix="0" xfId="3"/>
    <xf numFmtId="168" fontId="7" fillId="0" borderId="11" pivotButton="0" quotePrefix="0" xfId="0"/>
    <xf numFmtId="168" fontId="7" fillId="0" borderId="5" pivotButton="0" quotePrefix="0" xfId="0"/>
    <xf numFmtId="38" fontId="2" fillId="5" borderId="0" applyAlignment="1" pivotButton="0" quotePrefix="0" xfId="0">
      <alignment horizontal="left"/>
    </xf>
    <xf numFmtId="38" fontId="2" fillId="5" borderId="0" applyAlignment="1" pivotButton="0" quotePrefix="0" xfId="0">
      <alignment horizontal="center"/>
    </xf>
    <xf numFmtId="14" fontId="2" fillId="5" borderId="0" applyAlignment="1" pivotButton="0" quotePrefix="0" xfId="0">
      <alignment horizontal="center"/>
    </xf>
    <xf numFmtId="38" fontId="2" fillId="5" borderId="0" applyAlignment="1" pivotButton="0" quotePrefix="1" xfId="0">
      <alignment horizontal="left"/>
    </xf>
    <xf numFmtId="165" fontId="2" fillId="5" borderId="0" applyAlignment="1" pivotButton="0" quotePrefix="0" xfId="0">
      <alignment horizontal="center"/>
    </xf>
    <xf numFmtId="164" fontId="2" fillId="5" borderId="0" applyAlignment="1" pivotButton="0" quotePrefix="0" xfId="0">
      <alignment horizontal="center"/>
    </xf>
    <xf numFmtId="166" fontId="2" fillId="5" borderId="0" applyAlignment="1" pivotButton="0" quotePrefix="0" xfId="0">
      <alignment horizontal="center"/>
    </xf>
    <xf numFmtId="1" fontId="2" fillId="5" borderId="0" applyAlignment="1" pivotButton="0" quotePrefix="0" xfId="0">
      <alignment horizontal="center"/>
    </xf>
    <xf numFmtId="38" fontId="2" fillId="5" borderId="0" applyAlignment="1" pivotButton="0" quotePrefix="0" xfId="0">
      <alignment horizontal="right"/>
    </xf>
    <xf numFmtId="0" fontId="2" fillId="5" borderId="0" applyAlignment="1" pivotButton="0" quotePrefix="0" xfId="0">
      <alignment horizontal="right"/>
    </xf>
    <xf numFmtId="0" fontId="2" fillId="5" borderId="0" applyAlignment="1" pivotButton="0" quotePrefix="0" xfId="0">
      <alignment horizontal="center"/>
    </xf>
    <xf numFmtId="0" fontId="6" fillId="5" borderId="0" pivotButton="0" quotePrefix="0" xfId="0"/>
    <xf numFmtId="0" fontId="2" fillId="5" borderId="0" applyAlignment="1" pivotButton="0" quotePrefix="1" xfId="0">
      <alignment horizontal="left"/>
    </xf>
    <xf numFmtId="40" fontId="2" fillId="5" borderId="0" applyAlignment="1" pivotButton="0" quotePrefix="0" xfId="0">
      <alignment horizontal="right"/>
    </xf>
    <xf numFmtId="43" fontId="2" fillId="5" borderId="0" applyAlignment="1" pivotButton="0" quotePrefix="1" xfId="1">
      <alignment horizontal="left"/>
    </xf>
    <xf numFmtId="173" fontId="2" fillId="5" borderId="0" applyAlignment="1" pivotButton="0" quotePrefix="0" xfId="0">
      <alignment horizontal="center"/>
    </xf>
    <xf numFmtId="38" fontId="2" fillId="5" borderId="0" applyAlignment="1" pivotButton="0" quotePrefix="0" xfId="0">
      <alignment horizontal="center"/>
    </xf>
    <xf numFmtId="0" fontId="2" fillId="5" borderId="0" applyAlignment="1" pivotButton="0" quotePrefix="0" xfId="0">
      <alignment horizontal="center"/>
    </xf>
    <xf numFmtId="0" fontId="6" fillId="4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38" fontId="2" fillId="5" borderId="0" applyAlignment="1" pivotButton="0" quotePrefix="1" xfId="0">
      <alignment horizontal="center"/>
    </xf>
    <xf numFmtId="168" fontId="7" fillId="0" borderId="0" pivotButton="0" quotePrefix="0" xfId="0"/>
    <xf numFmtId="168" fontId="7" fillId="0" borderId="10" pivotButton="0" quotePrefix="0" xfId="0"/>
    <xf numFmtId="168" fontId="7" fillId="0" borderId="9" pivotButton="0" quotePrefix="0" xfId="0"/>
    <xf numFmtId="172" fontId="7" fillId="0" borderId="0" pivotButton="0" quotePrefix="0" xfId="3"/>
    <xf numFmtId="171" fontId="7" fillId="0" borderId="0" pivotButton="0" quotePrefix="0" xfId="0"/>
    <xf numFmtId="167" fontId="7" fillId="0" borderId="0" pivotButton="0" quotePrefix="0" xfId="1"/>
    <xf numFmtId="168" fontId="7" fillId="0" borderId="11" pivotButton="0" quotePrefix="0" xfId="0"/>
    <xf numFmtId="166" fontId="7" fillId="0" borderId="0" pivotButton="0" quotePrefix="0" xfId="3"/>
    <xf numFmtId="167" fontId="7" fillId="0" borderId="0" pivotButton="0" quotePrefix="0" xfId="0"/>
    <xf numFmtId="168" fontId="7" fillId="0" borderId="5" pivotButton="0" quotePrefix="0" xfId="0"/>
    <xf numFmtId="166" fontId="0" fillId="0" borderId="0" pivotButton="0" quotePrefix="0" xfId="0"/>
    <xf numFmtId="164" fontId="5" fillId="0" borderId="0" applyAlignment="1" pivotButton="0" quotePrefix="0" xfId="0">
      <alignment horizontal="left"/>
    </xf>
    <xf numFmtId="164" fontId="2" fillId="0" borderId="0" applyAlignment="1" pivotButton="0" quotePrefix="0" xfId="0">
      <alignment horizontal="center"/>
    </xf>
    <xf numFmtId="166" fontId="2" fillId="0" borderId="0" applyAlignment="1" pivotButton="0" quotePrefix="0" xfId="0">
      <alignment horizontal="center"/>
    </xf>
    <xf numFmtId="165" fontId="2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65" fontId="4" fillId="0" borderId="0" applyAlignment="1" pivotButton="0" quotePrefix="0" xfId="0">
      <alignment horizontal="center"/>
    </xf>
    <xf numFmtId="166" fontId="4" fillId="0" borderId="0" applyAlignment="1" pivotButton="0" quotePrefix="0" xfId="0">
      <alignment horizontal="center"/>
    </xf>
    <xf numFmtId="165" fontId="2" fillId="5" borderId="0" applyAlignment="1" pivotButton="0" quotePrefix="0" xfId="0">
      <alignment horizontal="center"/>
    </xf>
    <xf numFmtId="164" fontId="2" fillId="5" borderId="0" applyAlignment="1" pivotButton="0" quotePrefix="0" xfId="0">
      <alignment horizontal="center"/>
    </xf>
    <xf numFmtId="166" fontId="2" fillId="5" borderId="0" applyAlignment="1" pivotButton="0" quotePrefix="0" xfId="0">
      <alignment horizontal="center"/>
    </xf>
    <xf numFmtId="166" fontId="2" fillId="0" borderId="0" applyAlignment="1" pivotButton="0" quotePrefix="1" xfId="0">
      <alignment horizontal="left"/>
    </xf>
    <xf numFmtId="173" fontId="2" fillId="5" borderId="0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166" fontId="2" fillId="0" borderId="1" applyAlignment="1" pivotButton="0" quotePrefix="0" xfId="0">
      <alignment horizontal="center"/>
    </xf>
  </cellXfs>
  <cellStyles count="4">
    <cellStyle name="Normal" xfId="0" builtinId="0"/>
    <cellStyle name="Comma" xfId="1" builtinId="3"/>
    <cellStyle name="Currency" xfId="2" builtinId="4"/>
    <cellStyle name="Percent" xfId="3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9"/>
  <sheetViews>
    <sheetView workbookViewId="0">
      <selection activeCell="D3" sqref="D3"/>
    </sheetView>
  </sheetViews>
  <sheetFormatPr baseColWidth="8" defaultRowHeight="12"/>
  <cols>
    <col width="15.5703125" customWidth="1" style="67" min="1" max="1"/>
    <col width="9.140625" customWidth="1" style="67" min="2" max="2"/>
    <col width="12.42578125" customWidth="1" style="67" min="3" max="3"/>
    <col width="10" bestFit="1" customWidth="1" style="67" min="4" max="4"/>
    <col width="11" customWidth="1" style="67" min="5" max="5"/>
    <col width="9.140625" customWidth="1" style="67" min="6" max="6"/>
    <col width="15" customWidth="1" style="67" min="7" max="7"/>
    <col width="9.140625" customWidth="1" style="67" min="8" max="11"/>
    <col width="14.7109375" customWidth="1" style="67" min="12" max="12"/>
    <col width="9.140625" customWidth="1" style="67" min="13" max="16384"/>
  </cols>
  <sheetData>
    <row r="1" ht="12.75" customHeight="1" s="50">
      <c r="A1" s="66" t="inlineStr">
        <is>
          <t>Algonquin</t>
        </is>
      </c>
      <c r="M1" s="104" t="n"/>
      <c r="N1" s="104" t="n"/>
    </row>
    <row r="2" ht="12.75" customHeight="1" s="50">
      <c r="A2" s="104" t="n"/>
      <c r="B2" s="104" t="n"/>
      <c r="C2" s="104" t="n"/>
      <c r="D2" s="104" t="n"/>
      <c r="E2" s="104" t="n"/>
      <c r="F2" s="104" t="n"/>
      <c r="G2" s="104" t="n"/>
      <c r="H2" s="104" t="n"/>
      <c r="I2" s="104" t="n"/>
      <c r="J2" s="104" t="n"/>
      <c r="K2" s="104" t="n"/>
      <c r="L2" s="104" t="n"/>
      <c r="M2" s="104" t="n"/>
      <c r="N2" s="104" t="n"/>
    </row>
    <row r="3" ht="12.75" customHeight="1" s="50">
      <c r="A3" s="67" t="inlineStr">
        <is>
          <t>Index</t>
        </is>
      </c>
      <c r="B3" s="67" t="inlineStr">
        <is>
          <t>M3</t>
        </is>
      </c>
      <c r="C3" s="139" t="n">
        <v>4.72</v>
      </c>
      <c r="E3" s="139" t="n">
        <v>4.72</v>
      </c>
      <c r="M3" s="104" t="n"/>
      <c r="N3" s="104" t="n"/>
    </row>
    <row r="4" ht="12.75" customHeight="1" s="50">
      <c r="A4" s="67" t="inlineStr">
        <is>
          <t>Index [Person_1]</t>
        </is>
      </c>
      <c r="C4" s="139" t="n">
        <v>0.01</v>
      </c>
      <c r="E4" s="139" t="n">
        <v>0.1</v>
      </c>
      <c r="M4" s="104" t="n"/>
      <c r="N4" s="104" t="n"/>
    </row>
    <row r="5" ht="12.75" customHeight="1" s="50">
      <c r="A5" s="67" t="inlineStr">
        <is>
          <t>Algo Comm</t>
        </is>
      </c>
      <c r="C5" s="139" t="n">
        <v>0.0112</v>
      </c>
      <c r="E5" s="139" t="n">
        <v>0.0112</v>
      </c>
      <c r="M5" s="104" t="n"/>
      <c r="N5" s="104" t="n"/>
    </row>
    <row r="6" ht="12.75" customHeight="1" s="50">
      <c r="A6" s="67" t="inlineStr">
        <is>
          <t>Surcharges</t>
        </is>
      </c>
      <c r="C6" s="139" t="n">
        <v>0.0094</v>
      </c>
      <c r="E6" s="139" t="n">
        <v>0.0094</v>
      </c>
      <c r="M6" s="104" t="n"/>
      <c r="N6" s="104" t="n"/>
    </row>
    <row r="7" ht="12.75" customHeight="1" s="50">
      <c r="A7" s="67" t="inlineStr">
        <is>
          <t>Fuel</t>
        </is>
      </c>
      <c r="C7" s="113" t="n">
        <v>0.0058</v>
      </c>
      <c r="E7" s="113" t="n">
        <v>0.0058</v>
      </c>
      <c r="M7" s="104" t="n"/>
      <c r="N7" s="104" t="n"/>
    </row>
    <row r="8" ht="12.75" customHeight="1" s="50">
      <c r="A8" s="67" t="inlineStr">
        <is>
          <t>Algo Transport</t>
        </is>
      </c>
      <c r="C8" s="140">
        <f>ROUND(+C3/(1-C7)+(C5+C6),4)-C3</f>
        <v/>
      </c>
      <c r="E8" s="140">
        <f>ROUND(+E3/(1-E7)+(E5+E6),4)-E3</f>
        <v/>
      </c>
      <c r="M8" s="104" t="n"/>
      <c r="N8" s="104" t="n"/>
    </row>
    <row r="9" ht="13.5" customHeight="1" s="50" thickBot="1">
      <c r="C9" s="141">
        <f>SUM(C3,C4,C8)</f>
        <v/>
      </c>
      <c r="D9" s="67" t="inlineStr">
        <is>
          <t> </t>
        </is>
      </c>
      <c r="E9" s="141">
        <f>SUM(E3,E4,E8)</f>
        <v/>
      </c>
      <c r="F9" s="104" t="n"/>
      <c r="G9" s="104" t="n"/>
      <c r="H9" s="104" t="n"/>
      <c r="I9" s="104" t="n"/>
      <c r="J9" s="104" t="n"/>
      <c r="K9" s="104" t="n"/>
      <c r="L9" s="104" t="n"/>
      <c r="M9" s="104" t="n"/>
      <c r="N9" s="104" t="n"/>
    </row>
    <row r="10" ht="13.5" customHeight="1" s="50" thickTop="1">
      <c r="F10" s="104" t="n"/>
      <c r="G10" s="104" t="n"/>
      <c r="H10" s="104" t="n"/>
      <c r="I10" s="104" t="n"/>
      <c r="J10" s="104" t="n"/>
      <c r="K10" s="104" t="n"/>
      <c r="L10" s="104" t="n"/>
      <c r="M10" s="104" t="n"/>
      <c r="N10" s="104" t="n"/>
    </row>
    <row r="11" ht="12.75" customHeight="1" s="50">
      <c r="A11" s="67" t="inlineStr">
        <is>
          <t>Deal 228293</t>
        </is>
      </c>
      <c r="B11" s="67" t="inlineStr">
        <is>
          <t> </t>
        </is>
      </c>
      <c r="F11" s="104" t="n"/>
      <c r="G11" s="104" t="n"/>
      <c r="H11" s="104" t="n"/>
      <c r="I11" s="104" t="n"/>
      <c r="J11" s="104" t="n"/>
      <c r="K11" s="104" t="n"/>
      <c r="L11" s="104" t="n"/>
      <c r="M11" s="104" t="n"/>
      <c r="N11" s="104" t="n"/>
    </row>
    <row r="12" ht="12.75" customHeight="1" s="50">
      <c r="B12" s="67" t="inlineStr">
        <is>
          <t> </t>
        </is>
      </c>
      <c r="F12" s="104" t="n"/>
      <c r="G12" s="104" t="n"/>
      <c r="H12" s="104" t="n"/>
      <c r="I12" s="104" t="n"/>
      <c r="J12" s="104" t="n"/>
      <c r="K12" s="104" t="n"/>
      <c r="L12" s="104" t="n"/>
      <c r="M12" s="104" t="n"/>
      <c r="N12" s="104" t="n"/>
    </row>
    <row r="13" ht="12.75" customHeight="1" s="50">
      <c r="B13" s="67" t="inlineStr">
        <is>
          <t> </t>
        </is>
      </c>
      <c r="F13" s="104" t="n"/>
      <c r="G13" s="104" t="n"/>
      <c r="H13" s="104" t="n"/>
      <c r="I13" s="104" t="n"/>
      <c r="J13" s="104" t="n"/>
      <c r="K13" s="104" t="n"/>
      <c r="L13" s="104" t="n"/>
      <c r="M13" s="104" t="n"/>
      <c r="N13" s="104" t="n"/>
    </row>
    <row r="14" ht="12.75" customHeight="1" s="50">
      <c r="A14" s="104" t="n"/>
      <c r="B14" s="104" t="n"/>
      <c r="C14" s="104" t="n"/>
      <c r="D14" s="104" t="n"/>
      <c r="E14" s="104" t="n"/>
      <c r="F14" s="104" t="n"/>
      <c r="G14" s="104" t="n"/>
      <c r="H14" s="104" t="n"/>
      <c r="I14" s="104" t="n"/>
      <c r="J14" s="104" t="n"/>
      <c r="K14" s="104" t="n"/>
      <c r="L14" s="104" t="n"/>
      <c r="M14" s="104" t="n"/>
      <c r="N14" s="104" t="n"/>
    </row>
    <row r="15" ht="12.75" customHeight="1" s="50">
      <c r="A15" s="104" t="n"/>
      <c r="B15" s="104" t="n"/>
      <c r="C15" s="104" t="n"/>
      <c r="D15" s="104" t="n"/>
      <c r="E15" s="104" t="n"/>
      <c r="F15" s="104" t="n"/>
      <c r="G15" s="104" t="n"/>
      <c r="H15" s="104" t="n"/>
      <c r="I15" s="104" t="n"/>
      <c r="J15" s="104" t="n"/>
      <c r="K15" s="104" t="n"/>
      <c r="L15" s="104" t="n"/>
      <c r="M15" s="104" t="n"/>
      <c r="N15" s="104" t="n"/>
    </row>
    <row r="16" ht="12.75" customHeight="1" s="50">
      <c r="A16" s="104" t="n"/>
      <c r="B16" s="104" t="n"/>
      <c r="C16" s="104" t="n"/>
      <c r="D16" s="104" t="n"/>
      <c r="E16" s="104" t="n"/>
      <c r="F16" s="104" t="n"/>
      <c r="G16" s="104" t="n"/>
      <c r="H16" s="104" t="n"/>
      <c r="I16" s="104" t="n"/>
      <c r="J16" s="104" t="n"/>
      <c r="K16" s="104" t="n"/>
      <c r="L16" s="104" t="n"/>
      <c r="M16" s="104" t="n"/>
      <c r="N16" s="104" t="n"/>
    </row>
    <row r="17" ht="12.75" customHeight="1" s="50">
      <c r="A17" s="66" t="inlineStr">
        <is>
          <t>CGAS</t>
        </is>
      </c>
      <c r="C17" s="67" t="inlineStr">
        <is>
          <t>FTS</t>
        </is>
      </c>
      <c r="D17" s="67" t="inlineStr">
        <is>
          <t>[Person_2]</t>
        </is>
      </c>
      <c r="E17" s="67" t="inlineStr">
        <is>
          <t> </t>
        </is>
      </c>
      <c r="F17" s="104" t="n"/>
      <c r="G17" s="104" t="n"/>
      <c r="H17" s="104" t="n"/>
      <c r="I17" s="104" t="n"/>
      <c r="J17" s="104" t="n"/>
      <c r="K17" s="104" t="n"/>
      <c r="L17" s="104" t="n"/>
      <c r="M17" s="104" t="n"/>
      <c r="N17" s="104" t="n"/>
    </row>
    <row r="18" ht="12.75" customHeight="1" s="50">
      <c r="A18" s="67" t="inlineStr">
        <is>
          <t>Index</t>
        </is>
      </c>
      <c r="B18" s="67" t="inlineStr">
        <is>
          <t>CGAS</t>
        </is>
      </c>
      <c r="C18" s="139" t="n">
        <v>4.52</v>
      </c>
      <c r="E18" s="139" t="n">
        <v>4.52</v>
      </c>
      <c r="F18" s="104" t="n"/>
      <c r="G18" s="104" t="inlineStr">
        <is>
          <t>Storage Injection:</t>
        </is>
      </c>
      <c r="H18" s="104" t="n"/>
      <c r="I18" s="139">
        <f>+C24</f>
        <v/>
      </c>
      <c r="J18" s="104" t="n"/>
      <c r="K18" s="104" t="n"/>
      <c r="L18" s="104" t="n"/>
      <c r="M18" s="104" t="n"/>
      <c r="N18" s="104" t="n"/>
    </row>
    <row r="19" ht="12.75" customHeight="1" s="50">
      <c r="A19" s="67" t="inlineStr">
        <is>
          <t>Index [Person_1]</t>
        </is>
      </c>
      <c r="C19" s="139" t="n">
        <v>0.0075</v>
      </c>
      <c r="E19" s="139" t="n">
        <v>0.0075</v>
      </c>
      <c r="F19" s="104" t="n"/>
      <c r="G19" s="104" t="n"/>
      <c r="H19" s="104" t="n"/>
      <c r="I19" s="139" t="n">
        <v>0</v>
      </c>
      <c r="J19" s="104" t="n"/>
      <c r="K19" s="104" t="n"/>
      <c r="L19" s="104" t="n"/>
      <c r="M19" s="104" t="n"/>
      <c r="N19" s="104" t="n"/>
    </row>
    <row r="20" ht="12.75" customHeight="1" s="50">
      <c r="A20" s="67" t="inlineStr">
        <is>
          <t>Comm</t>
        </is>
      </c>
      <c r="C20" s="139" t="n">
        <v>0.0133</v>
      </c>
      <c r="E20" s="139" t="n">
        <v>0.0133</v>
      </c>
      <c r="F20" s="104" t="n"/>
      <c r="G20" s="104" t="inlineStr">
        <is>
          <t>Inj Comm</t>
        </is>
      </c>
      <c r="H20" s="104" t="n"/>
      <c r="I20" s="139" t="n">
        <v>0.0153</v>
      </c>
      <c r="J20" s="104" t="n"/>
      <c r="K20" s="104" t="n"/>
      <c r="L20" s="104" t="n"/>
      <c r="M20" s="104" t="n"/>
      <c r="N20" s="104" t="n"/>
    </row>
    <row r="21" ht="12.75" customHeight="1" s="50">
      <c r="A21" s="67" t="inlineStr">
        <is>
          <t>Surcharges</t>
        </is>
      </c>
      <c r="C21" s="139" t="n">
        <v>0.0094</v>
      </c>
      <c r="E21" s="139" t="n">
        <v>0.0094</v>
      </c>
      <c r="F21" s="104" t="n"/>
      <c r="G21" s="104" t="inlineStr">
        <is>
          <t>Fuel</t>
        </is>
      </c>
      <c r="H21" s="104" t="n"/>
      <c r="I21" s="142" t="n">
        <v>0.0017</v>
      </c>
      <c r="J21" s="104" t="n"/>
      <c r="K21" s="104" t="n"/>
      <c r="L21" s="104" t="n"/>
      <c r="M21" s="104" t="n"/>
      <c r="N21" s="104" t="n"/>
    </row>
    <row r="22" ht="12.75" customHeight="1" s="50">
      <c r="A22" s="67" t="inlineStr">
        <is>
          <t>Fuel</t>
        </is>
      </c>
      <c r="C22" s="142" t="n">
        <v>0.02184</v>
      </c>
      <c r="E22" s="142" t="n">
        <v>0.02184</v>
      </c>
      <c r="F22" s="104" t="n"/>
      <c r="G22" s="104" t="n"/>
      <c r="H22" s="104" t="n"/>
      <c r="I22" s="140">
        <f>ROUND(+I18/(1-I21)+I20,4)-I18</f>
        <v/>
      </c>
      <c r="J22" s="104" t="n"/>
      <c r="K22" s="104" t="n"/>
      <c r="L22" s="104" t="n"/>
      <c r="M22" s="104" t="n"/>
      <c r="N22" s="104" t="n"/>
    </row>
    <row r="23" ht="13.5" customHeight="1" s="50" thickBot="1">
      <c r="A23" s="67" t="inlineStr">
        <is>
          <t>Transport</t>
        </is>
      </c>
      <c r="C23" s="140">
        <f>ROUND(+C18/(1-C22)+(C20+C21),4)-C18</f>
        <v/>
      </c>
      <c r="E23" s="140">
        <f>ROUND(+E18/(1-E22)+(E20+E21),4)-E18</f>
        <v/>
      </c>
      <c r="F23" s="104" t="n"/>
      <c r="G23" s="104" t="n"/>
      <c r="H23" s="104" t="n"/>
      <c r="I23" s="141">
        <f>I18+I22</f>
        <v/>
      </c>
      <c r="J23" s="104" t="n"/>
      <c r="K23" s="104" t="n"/>
      <c r="L23" s="95" t="n"/>
      <c r="M23" s="104" t="n"/>
      <c r="N23" s="104" t="n"/>
    </row>
    <row r="24" ht="14.25" customHeight="1" s="50" thickBot="1" thickTop="1">
      <c r="C24" s="141">
        <f>SUM(C18,C19,C23)</f>
        <v/>
      </c>
      <c r="E24" s="140" t="n">
        <v>0.02</v>
      </c>
      <c r="F24" s="104" t="n"/>
      <c r="G24" s="104" t="n"/>
      <c r="H24" s="104" t="n"/>
      <c r="I24" s="139" t="inlineStr">
        <is>
          <t> </t>
        </is>
      </c>
      <c r="J24" s="104" t="n"/>
      <c r="K24" s="104" t="n"/>
      <c r="L24" s="95" t="n"/>
      <c r="M24" s="104" t="n"/>
      <c r="N24" s="104" t="n"/>
    </row>
    <row r="25" ht="14.25" customHeight="1" s="50" thickBot="1" thickTop="1">
      <c r="A25" s="67" t="inlineStr">
        <is>
          <t>Deal 227081, 227113</t>
        </is>
      </c>
      <c r="E25" s="141">
        <f>+E24+E23+E18</f>
        <v/>
      </c>
      <c r="F25" s="67" t="inlineStr">
        <is>
          <t>Deal 235398</t>
        </is>
      </c>
      <c r="H25" s="104" t="n"/>
      <c r="I25" s="104" t="n"/>
      <c r="J25" s="104" t="n"/>
      <c r="K25" s="104" t="n"/>
      <c r="L25" s="95" t="n"/>
      <c r="M25" s="104" t="n"/>
      <c r="N25" s="104" t="n"/>
    </row>
    <row r="26" ht="13.5" customHeight="1" s="50" thickTop="1">
      <c r="C26" s="92" t="n"/>
      <c r="E26" s="92" t="n"/>
      <c r="H26" s="104" t="n"/>
      <c r="I26" s="104" t="n"/>
      <c r="J26" s="104" t="n"/>
      <c r="K26" s="104" t="n"/>
      <c r="L26" s="95" t="n"/>
      <c r="M26" s="104" t="n"/>
      <c r="N26" s="104" t="n"/>
    </row>
    <row r="27" ht="12.75" customHeight="1" s="50">
      <c r="C27" s="143" t="n"/>
      <c r="E27" s="143" t="n"/>
      <c r="H27" s="104" t="n"/>
      <c r="I27" s="104" t="n"/>
      <c r="J27" s="104" t="n"/>
      <c r="K27" s="104" t="n"/>
      <c r="L27" s="95" t="n"/>
      <c r="M27" s="104" t="n"/>
      <c r="N27" s="104" t="n"/>
    </row>
    <row r="28" ht="12.75" customHeight="1" s="50">
      <c r="C28" s="143" t="n"/>
      <c r="E28" s="143" t="n"/>
      <c r="H28" s="104" t="n"/>
      <c r="I28" s="104" t="n"/>
      <c r="J28" s="104" t="n"/>
      <c r="K28" s="104" t="n"/>
      <c r="L28" s="95" t="n"/>
      <c r="M28" s="104" t="n"/>
      <c r="N28" s="104" t="n"/>
    </row>
    <row r="29" ht="12.75" customHeight="1" s="50">
      <c r="C29" s="143" t="n"/>
      <c r="E29" s="143" t="n"/>
      <c r="H29" s="104" t="n"/>
      <c r="I29" s="104" t="n"/>
      <c r="J29" s="104" t="n"/>
      <c r="K29" s="104" t="n"/>
      <c r="L29" s="95" t="n"/>
      <c r="M29" s="104" t="n"/>
      <c r="N29" s="104" t="n"/>
    </row>
    <row r="30" ht="12.75" customHeight="1" s="50">
      <c r="A30" s="66" t="inlineStr">
        <is>
          <t>CGLF</t>
        </is>
      </c>
      <c r="C30" s="67" t="inlineStr">
        <is>
          <t>FT-1</t>
        </is>
      </c>
      <c r="D30" s="67" t="inlineStr">
        <is>
          <t>Volume</t>
        </is>
      </c>
      <c r="E30" s="67" t="n"/>
      <c r="F30" s="104" t="n"/>
      <c r="G30" s="104" t="n"/>
      <c r="H30" s="104" t="n"/>
      <c r="I30" s="104" t="n"/>
      <c r="J30" s="104" t="n"/>
      <c r="K30" s="104" t="n"/>
      <c r="L30" s="104" t="n"/>
      <c r="M30" s="104" t="n"/>
      <c r="N30" s="104" t="n"/>
    </row>
    <row r="31" ht="12.75" customHeight="1" s="50">
      <c r="A31" s="67" t="inlineStr">
        <is>
          <t>Index</t>
        </is>
      </c>
      <c r="B31" s="67" t="inlineStr">
        <is>
          <t>CGLF</t>
        </is>
      </c>
      <c r="C31" s="139" t="n">
        <v>4.34</v>
      </c>
      <c r="D31" s="144" t="n">
        <v>1155</v>
      </c>
      <c r="E31" s="67" t="inlineStr">
        <is>
          <t>Deal 318748 (bookout with deal 202939)</t>
        </is>
      </c>
      <c r="F31" s="104" t="n"/>
      <c r="G31" s="104" t="n"/>
      <c r="H31" s="104" t="n"/>
      <c r="I31" s="139" t="n"/>
      <c r="J31" s="104" t="n"/>
      <c r="K31" s="104" t="n"/>
      <c r="L31" s="104" t="n"/>
      <c r="M31" s="104" t="n"/>
      <c r="N31" s="104" t="n"/>
    </row>
    <row r="32" ht="12.75" customHeight="1" s="50">
      <c r="A32" s="67" t="inlineStr">
        <is>
          <t>Index [Person_1]</t>
        </is>
      </c>
      <c r="C32" s="139" t="n">
        <v>0.06</v>
      </c>
      <c r="D32" s="67" t="n"/>
      <c r="E32" s="139" t="n"/>
      <c r="F32" s="104" t="n"/>
      <c r="G32" s="104" t="n"/>
      <c r="H32" s="104" t="n"/>
      <c r="I32" s="139" t="n"/>
      <c r="J32" s="104" t="n"/>
      <c r="K32" s="104" t="n"/>
      <c r="L32" s="104" t="n"/>
      <c r="M32" s="104" t="n"/>
      <c r="N32" s="104" t="n"/>
    </row>
    <row r="33" ht="12.75" customHeight="1" s="50">
      <c r="A33" s="67" t="inlineStr">
        <is>
          <t>Comm</t>
        </is>
      </c>
      <c r="C33" s="139" t="n">
        <v>0.017</v>
      </c>
      <c r="D33" s="67" t="n"/>
      <c r="E33" s="139" t="n"/>
      <c r="F33" s="104" t="n"/>
      <c r="G33" s="104" t="n"/>
      <c r="H33" s="104" t="n"/>
      <c r="I33" s="139" t="n"/>
      <c r="J33" s="104" t="n"/>
      <c r="K33" s="104" t="n"/>
      <c r="L33" s="104" t="n"/>
      <c r="M33" s="104" t="n"/>
      <c r="N33" s="104" t="n"/>
    </row>
    <row r="34" ht="12.75" customHeight="1" s="50">
      <c r="A34" s="67" t="inlineStr">
        <is>
          <t>Surcharges</t>
        </is>
      </c>
      <c r="C34" s="139" t="n">
        <v>0.0022</v>
      </c>
      <c r="D34" s="67" t="n"/>
      <c r="E34" s="139" t="n"/>
      <c r="F34" s="104" t="n"/>
      <c r="G34" s="104" t="n"/>
      <c r="H34" s="104" t="n"/>
      <c r="I34" s="142" t="n"/>
      <c r="J34" s="104" t="n"/>
      <c r="K34" s="104" t="n"/>
      <c r="L34" s="104" t="n"/>
      <c r="M34" s="104" t="n"/>
      <c r="N34" s="104" t="n"/>
    </row>
    <row r="35" ht="12.75" customHeight="1" s="50">
      <c r="A35" s="67" t="inlineStr">
        <is>
          <t>Fuel</t>
        </is>
      </c>
      <c r="C35" s="142" t="n">
        <v>0.0282</v>
      </c>
      <c r="D35" s="67">
        <f>ROUND(+D31*(1-C35),0)</f>
        <v/>
      </c>
      <c r="E35" s="142" t="inlineStr">
        <is>
          <t>Deals 318750 and 318749</t>
        </is>
      </c>
      <c r="F35" s="104" t="n"/>
      <c r="G35" s="104" t="n"/>
      <c r="H35" s="104" t="n"/>
      <c r="I35" s="139" t="n"/>
      <c r="J35" s="104" t="n"/>
      <c r="K35" s="104" t="n"/>
      <c r="L35" s="104" t="n"/>
      <c r="M35" s="104" t="n"/>
      <c r="N35" s="104" t="n"/>
    </row>
    <row r="36" ht="12.75" customHeight="1" s="50">
      <c r="A36" s="67" t="inlineStr">
        <is>
          <t>Transport</t>
        </is>
      </c>
      <c r="C36" s="140">
        <f>ROUND((+C31+C32)/(1-C35)+(C33+C34),4)-C31-C32</f>
        <v/>
      </c>
      <c r="D36" s="67" t="n"/>
      <c r="E36" s="139" t="n"/>
      <c r="F36" s="104" t="n"/>
      <c r="G36" s="104" t="n"/>
      <c r="H36" s="104" t="n"/>
      <c r="I36" s="139" t="n"/>
      <c r="J36" s="104" t="n"/>
      <c r="K36" s="104" t="n"/>
      <c r="L36" s="95" t="n"/>
      <c r="M36" s="104" t="n"/>
      <c r="N36" s="104" t="n"/>
    </row>
    <row r="37" ht="13.5" customHeight="1" s="50" thickBot="1">
      <c r="C37" s="141">
        <f>SUM(C31,C32,C36)</f>
        <v/>
      </c>
      <c r="D37" s="67" t="n"/>
      <c r="E37" s="139" t="n"/>
      <c r="F37" s="104" t="n"/>
      <c r="G37" s="104" t="n"/>
      <c r="H37" s="104" t="n"/>
      <c r="I37" s="139" t="n"/>
      <c r="J37" s="104" t="n"/>
      <c r="K37" s="104" t="n"/>
      <c r="L37" s="95" t="n"/>
      <c r="M37" s="104" t="n"/>
      <c r="N37" s="104" t="n"/>
    </row>
    <row r="38" ht="13.5" customHeight="1" s="50" thickTop="1">
      <c r="A38" s="67" t="inlineStr">
        <is>
          <t>Deal 227081, 227113</t>
        </is>
      </c>
      <c r="D38" s="67" t="n"/>
      <c r="E38" s="139" t="n"/>
      <c r="F38" s="67" t="n"/>
      <c r="G38" s="67" t="n"/>
      <c r="H38" s="104" t="n"/>
      <c r="I38" s="104" t="n"/>
      <c r="J38" s="104" t="n"/>
      <c r="K38" s="104" t="n"/>
      <c r="L38" s="95" t="n"/>
      <c r="M38" s="104" t="n"/>
      <c r="N38" s="104" t="n"/>
    </row>
    <row r="39" ht="12.75" customHeight="1" s="50">
      <c r="C39" s="92" t="n"/>
      <c r="E39" s="92" t="n"/>
      <c r="H39" s="104" t="n"/>
      <c r="I39" s="104" t="n"/>
      <c r="J39" s="104" t="n"/>
      <c r="K39" s="104" t="n"/>
      <c r="L39" s="95" t="n"/>
      <c r="M39" s="104" t="n"/>
      <c r="N39" s="104" t="n"/>
    </row>
    <row r="40" ht="12.75" customHeight="1" s="50">
      <c r="A40" s="67" t="inlineStr">
        <is>
          <t>Note:  CES purchased gas from ENA at CGLF Mainline (deal 202939).  ENA will buy this gas back at the CGLF Onshore Index plus $.06,</t>
        </is>
      </c>
      <c r="C40" s="143" t="n"/>
      <c r="E40" s="143" t="n"/>
      <c r="H40" s="104" t="n"/>
      <c r="I40" s="104" t="n"/>
      <c r="J40" s="104" t="n"/>
      <c r="K40" s="104" t="n"/>
      <c r="L40" s="95" t="n"/>
      <c r="M40" s="104" t="n"/>
      <c r="N40" s="104" t="n"/>
    </row>
    <row r="41" ht="12.75" customHeight="1" s="50">
      <c r="B41" s="67" t="inlineStr">
        <is>
          <t>and sell the gas back to CES at CGAS pool at CGLFOnshore Index +$.06 + variable cost from Mainline to Leach.</t>
        </is>
      </c>
      <c r="C41" s="139" t="n"/>
      <c r="H41" s="104" t="n"/>
      <c r="I41" s="104" t="n"/>
      <c r="J41" s="104" t="n"/>
      <c r="K41" s="104" t="n"/>
      <c r="L41" s="95" t="n"/>
      <c r="M41" s="104" t="n"/>
      <c r="N41" s="104" t="n"/>
    </row>
    <row r="42" ht="12.75" customHeight="1" s="50">
      <c r="A42" s="104" t="n"/>
      <c r="B42" s="104" t="inlineStr">
        <is>
          <t>ENA will buy the CGAS Pool gas back at the FOM price for CGAS.</t>
        </is>
      </c>
      <c r="C42" s="104" t="n"/>
      <c r="D42" s="104" t="n"/>
      <c r="E42" s="104" t="n"/>
      <c r="F42" s="104" t="n"/>
      <c r="G42" s="104" t="n"/>
      <c r="H42" s="104" t="n"/>
      <c r="I42" s="104" t="n"/>
      <c r="J42" s="104" t="n"/>
      <c r="K42" s="104" t="n"/>
      <c r="L42" s="104" t="n"/>
      <c r="M42" s="104" t="n"/>
      <c r="N42" s="104" t="n"/>
    </row>
    <row r="43" ht="12.75" customHeight="1" s="50">
      <c r="A43" s="104" t="n"/>
      <c r="B43" s="104" t="n"/>
      <c r="C43" s="104" t="n"/>
      <c r="D43" s="104" t="n"/>
      <c r="E43" s="104" t="n"/>
      <c r="F43" s="104" t="n"/>
      <c r="G43" s="104" t="n"/>
      <c r="H43" s="104" t="n"/>
      <c r="I43" s="104" t="n"/>
      <c r="J43" s="104" t="n"/>
      <c r="K43" s="104" t="n"/>
      <c r="L43" s="104" t="n"/>
      <c r="M43" s="104" t="n"/>
      <c r="N43" s="104" t="n"/>
    </row>
    <row r="44" ht="12.75" customHeight="1" s="50">
      <c r="A44" s="104" t="n"/>
      <c r="B44" s="104" t="n"/>
      <c r="C44" s="104" t="n"/>
      <c r="D44" s="104" t="n"/>
      <c r="E44" s="104" t="n"/>
      <c r="F44" s="104" t="n"/>
      <c r="G44" s="104" t="n"/>
      <c r="H44" s="104" t="n"/>
      <c r="I44" s="104" t="n"/>
      <c r="J44" s="104" t="n"/>
      <c r="K44" s="104" t="n"/>
      <c r="L44" s="104" t="n"/>
      <c r="M44" s="104" t="n"/>
      <c r="N44" s="104" t="n"/>
    </row>
    <row r="45" ht="12.75" customHeight="1" s="50">
      <c r="A45" s="104" t="n"/>
      <c r="B45" s="104" t="n"/>
      <c r="C45" s="104" t="n"/>
      <c r="D45" s="104" t="n"/>
      <c r="E45" s="104" t="n"/>
      <c r="F45" s="104" t="n"/>
      <c r="G45" s="104" t="n"/>
      <c r="H45" s="104" t="n"/>
      <c r="I45" s="104" t="n"/>
      <c r="J45" s="104" t="n"/>
      <c r="K45" s="104" t="n"/>
      <c r="L45" s="104" t="n"/>
      <c r="M45" s="104" t="n"/>
      <c r="N45" s="104" t="n"/>
    </row>
    <row r="46" ht="12.75" customHeight="1" s="50">
      <c r="A46" s="104" t="n"/>
      <c r="B46" s="104" t="n"/>
      <c r="C46" s="104" t="n"/>
      <c r="D46" s="104" t="n"/>
      <c r="E46" s="104" t="n"/>
      <c r="F46" s="104" t="n"/>
      <c r="G46" s="104" t="n"/>
      <c r="H46" s="104" t="n"/>
      <c r="I46" s="104" t="n"/>
      <c r="J46" s="104" t="n"/>
      <c r="K46" s="104" t="n"/>
      <c r="L46" s="104" t="n"/>
      <c r="M46" s="104" t="n"/>
      <c r="N46" s="104" t="n"/>
    </row>
    <row r="47" ht="12.75" customHeight="1" s="50">
      <c r="A47" s="104" t="n"/>
      <c r="B47" s="104" t="n"/>
      <c r="C47" s="104" t="n"/>
      <c r="D47" s="104" t="n"/>
      <c r="E47" s="104" t="n"/>
      <c r="F47" s="104" t="n"/>
      <c r="G47" s="104" t="n"/>
      <c r="H47" s="104" t="n"/>
      <c r="I47" s="104" t="n"/>
      <c r="J47" s="104" t="n"/>
      <c r="K47" s="104" t="n"/>
      <c r="L47" s="104" t="n"/>
      <c r="M47" s="104" t="n"/>
      <c r="N47" s="104" t="n"/>
    </row>
    <row r="48" ht="12.75" customHeight="1" s="50">
      <c r="A48" s="66" t="inlineStr">
        <is>
          <t>CNG</t>
        </is>
      </c>
      <c r="C48" s="67" t="inlineStr">
        <is>
          <t>CES S-N Transport</t>
        </is>
      </c>
      <c r="E48" s="67" t="inlineStr">
        <is>
          <t>North Citygate</t>
        </is>
      </c>
      <c r="G48" s="67" t="inlineStr">
        <is>
          <t>South Citygate</t>
        </is>
      </c>
      <c r="H48" s="104" t="n"/>
      <c r="I48" s="104" t="n"/>
      <c r="J48" s="104" t="n"/>
      <c r="K48" s="104" t="n"/>
      <c r="L48" s="104" t="n"/>
      <c r="M48" s="104" t="n"/>
      <c r="N48" s="104" t="n"/>
    </row>
    <row r="49" ht="12.75" customHeight="1" s="50">
      <c r="A49" s="67" t="inlineStr">
        <is>
          <t>Index</t>
        </is>
      </c>
      <c r="B49" s="67" t="inlineStr">
        <is>
          <t>CNG</t>
        </is>
      </c>
      <c r="C49" s="139" t="n">
        <v>4.56</v>
      </c>
      <c r="E49" s="139" t="n">
        <v>4.56</v>
      </c>
      <c r="G49" s="139" t="n">
        <v>4.56</v>
      </c>
      <c r="H49" s="104" t="n"/>
      <c r="I49" s="104" t="n"/>
      <c r="J49" s="104" t="n"/>
      <c r="K49" s="104" t="n"/>
      <c r="L49" s="104" t="n"/>
      <c r="M49" s="104" t="n"/>
      <c r="N49" s="104" t="n"/>
    </row>
    <row r="50" ht="12.75" customHeight="1" s="50">
      <c r="A50" s="67" t="inlineStr">
        <is>
          <t>Index [Person_1]</t>
        </is>
      </c>
      <c r="C50" s="139" t="n">
        <v>0.0075</v>
      </c>
      <c r="E50" s="139" t="n">
        <v>0.0075</v>
      </c>
      <c r="G50" s="139" t="n">
        <v>0.0075</v>
      </c>
      <c r="H50" s="104" t="n"/>
      <c r="I50" s="104" t="n"/>
      <c r="J50" s="104" t="n"/>
      <c r="K50" s="104" t="n"/>
      <c r="L50" s="104" t="n"/>
      <c r="M50" s="104" t="n"/>
      <c r="N50" s="104" t="n"/>
    </row>
    <row r="51" ht="12.75" customHeight="1" s="50">
      <c r="A51" s="67" t="inlineStr">
        <is>
          <t>Comm</t>
        </is>
      </c>
      <c r="C51" s="139" t="n">
        <v>0.0395</v>
      </c>
      <c r="E51" s="139" t="n">
        <v>0.0395</v>
      </c>
      <c r="G51" s="139" t="n">
        <v>0.0395</v>
      </c>
      <c r="H51" s="104" t="n"/>
      <c r="I51" s="104" t="n"/>
      <c r="J51" s="104" t="n"/>
      <c r="K51" s="104" t="n"/>
      <c r="L51" s="104" t="n"/>
      <c r="M51" s="104" t="n"/>
      <c r="N51" s="104" t="n"/>
    </row>
    <row r="52" ht="12.75" customHeight="1" s="50">
      <c r="A52" s="67" t="inlineStr">
        <is>
          <t>Surcharges</t>
        </is>
      </c>
      <c r="C52" s="139" t="n">
        <v>0.0022</v>
      </c>
      <c r="E52" s="139" t="n">
        <v>0.0022</v>
      </c>
      <c r="G52" s="139" t="n">
        <v>0.0022</v>
      </c>
      <c r="H52" s="104" t="n"/>
      <c r="I52" s="104" t="n"/>
      <c r="J52" s="104" t="n"/>
      <c r="K52" s="104" t="n"/>
      <c r="L52" s="104" t="n"/>
      <c r="M52" s="104" t="n"/>
      <c r="N52" s="104" t="n"/>
    </row>
    <row r="53" ht="12.75" customHeight="1" s="50">
      <c r="A53" s="67" t="inlineStr">
        <is>
          <t>Fuel</t>
        </is>
      </c>
      <c r="C53" s="113" t="n">
        <v>0.0228</v>
      </c>
      <c r="E53" s="113" t="n">
        <v>0.0228</v>
      </c>
      <c r="G53" s="113" t="n">
        <v>0.0228</v>
      </c>
      <c r="H53" s="104" t="n"/>
      <c r="I53" s="104" t="n"/>
      <c r="J53" s="104" t="n"/>
      <c r="K53" s="104" t="n"/>
      <c r="L53" s="104" t="n"/>
      <c r="M53" s="104" t="n"/>
      <c r="N53" s="104" t="n"/>
    </row>
    <row r="54" ht="12.75" customHeight="1" s="50">
      <c r="A54" s="67" t="inlineStr">
        <is>
          <t>Transport</t>
        </is>
      </c>
      <c r="C54" s="140">
        <f>ROUND(+C49/(1-C53)+(C51+C52),4)-C49</f>
        <v/>
      </c>
      <c r="E54" s="140">
        <f>ROUND(+E49/(1-E53)+(E51+E52),4)-E49</f>
        <v/>
      </c>
      <c r="F54" s="67" t="n"/>
      <c r="G54" s="140">
        <f>ROUND(+G49/(1-G53)+(G51+G52),4)-G49</f>
        <v/>
      </c>
      <c r="H54" s="104" t="n"/>
      <c r="I54" s="104" t="n"/>
      <c r="J54" s="104" t="n"/>
      <c r="K54" s="104" t="n"/>
      <c r="L54" s="104" t="n"/>
      <c r="M54" s="104" t="n"/>
      <c r="N54" s="104" t="n"/>
    </row>
    <row r="55" ht="12.75" customHeight="1" s="50">
      <c r="A55" s="67" t="inlineStr">
        <is>
          <t>Demand</t>
        </is>
      </c>
      <c r="C55" s="140" t="n">
        <v>0</v>
      </c>
      <c r="E55" s="140" t="n">
        <v>0.02</v>
      </c>
      <c r="F55" s="67" t="n"/>
      <c r="G55" s="140" t="n">
        <v>0.02</v>
      </c>
      <c r="H55" s="104" t="n"/>
      <c r="I55" s="104" t="n"/>
      <c r="J55" s="104" t="n"/>
      <c r="K55" s="104" t="n"/>
      <c r="L55" s="104" t="n"/>
      <c r="M55" s="104" t="n"/>
      <c r="N55" s="104" t="n"/>
    </row>
    <row r="56" ht="13.5" customHeight="1" s="50" thickBot="1">
      <c r="A56" s="67" t="inlineStr">
        <is>
          <t>Delivered Price</t>
        </is>
      </c>
      <c r="C56" s="145">
        <f>SUM(C54,C49:C50,C55)</f>
        <v/>
      </c>
      <c r="E56" s="145">
        <f>SUM(E54,E49:E50,E55)</f>
        <v/>
      </c>
      <c r="F56" s="67" t="n"/>
      <c r="G56" s="145">
        <f>SUM(G54,G49:G50,G55)</f>
        <v/>
      </c>
      <c r="H56" s="104" t="n"/>
      <c r="I56" s="104" t="n"/>
      <c r="J56" s="104" t="n"/>
      <c r="K56" s="104" t="n"/>
      <c r="L56" s="104" t="n"/>
      <c r="M56" s="104" t="n"/>
      <c r="N56" s="104" t="n"/>
    </row>
    <row r="57" ht="13.5" customHeight="1" s="50" thickTop="1">
      <c r="A57" s="67" t="inlineStr">
        <is>
          <t> </t>
        </is>
      </c>
      <c r="B57" s="67" t="inlineStr">
        <is>
          <t> </t>
        </is>
      </c>
      <c r="C57" s="144" t="n">
        <v>37170</v>
      </c>
      <c r="E57" s="144" t="n">
        <v>54450</v>
      </c>
      <c r="F57" s="67" t="n"/>
      <c r="G57" s="144" t="n">
        <v>118800</v>
      </c>
      <c r="H57" s="104" t="n"/>
      <c r="I57" s="104" t="n"/>
      <c r="J57" s="104" t="n"/>
      <c r="K57" s="104" t="n"/>
      <c r="L57" s="104" t="n"/>
      <c r="M57" s="104" t="n"/>
      <c r="N57" s="104" t="n"/>
    </row>
    <row r="58" ht="12.75" customHeight="1" s="50">
      <c r="A58" s="67" t="inlineStr">
        <is>
          <t>Comment:  CES has 1,239 dt/day of South to North Space.</t>
        </is>
      </c>
      <c r="C58" s="139" t="n"/>
      <c r="E58" s="67" t="n"/>
      <c r="F58" s="67" t="n"/>
      <c r="G58" s="67" t="n"/>
      <c r="H58" s="104" t="n"/>
      <c r="I58" s="104" t="n"/>
      <c r="J58" s="104" t="n"/>
      <c r="K58" s="104" t="n"/>
      <c r="L58" s="104" t="n"/>
      <c r="M58" s="104" t="n"/>
      <c r="N58" s="104" t="n"/>
    </row>
    <row r="59" ht="12.75" customHeight="1" s="50">
      <c r="A59" s="67" t="inlineStr">
        <is>
          <t>Deal # 228246 for North and tiered rate.  Deal # 228234 for South all at one rate.</t>
        </is>
      </c>
      <c r="C59" s="139" t="n"/>
      <c r="H59" s="104" t="n"/>
      <c r="I59" s="104" t="n"/>
      <c r="J59" s="104" t="n"/>
      <c r="K59" s="104" t="n"/>
      <c r="L59" s="104" t="n"/>
      <c r="M59" s="104" t="n"/>
      <c r="N59" s="104" t="n"/>
    </row>
    <row r="60" ht="12.75" customHeight="1" s="50">
      <c r="A60" s="67" t="inlineStr">
        <is>
          <t>Deal 204778 - Supplied with local production behind East Ohio Citygate - bill as South Citygate</t>
        </is>
      </c>
      <c r="C60" s="139" t="n"/>
      <c r="H60" s="104" t="n"/>
      <c r="I60" s="104" t="n"/>
      <c r="J60" s="104" t="n"/>
      <c r="K60" s="104" t="n"/>
      <c r="L60" s="104" t="n"/>
      <c r="M60" s="104" t="n"/>
      <c r="N60" s="104" t="n"/>
    </row>
    <row r="61" ht="12.75" customHeight="1" s="50">
      <c r="A61" s="67" t="inlineStr">
        <is>
          <t>Deal 204773 - Supplied with local production behind Peoples - bill as South Citygate</t>
        </is>
      </c>
      <c r="C61" s="139" t="n"/>
      <c r="H61" s="104" t="n"/>
      <c r="I61" s="104" t="n"/>
      <c r="J61" s="104" t="n"/>
      <c r="K61" s="104" t="n"/>
      <c r="L61" s="104" t="n"/>
      <c r="M61" s="104" t="n"/>
      <c r="N61" s="104" t="n"/>
    </row>
    <row r="62" ht="12.75" customHeight="1" s="50">
      <c r="C62" s="139" t="n"/>
      <c r="H62" s="104" t="n"/>
      <c r="I62" s="104" t="inlineStr">
        <is>
          <t> </t>
        </is>
      </c>
      <c r="J62" s="104" t="n"/>
      <c r="K62" s="104" t="n"/>
      <c r="L62" s="104" t="n"/>
      <c r="M62" s="104" t="n"/>
      <c r="N62" s="104" t="n"/>
    </row>
    <row r="63" ht="12.75" customHeight="1" s="50">
      <c r="A63" s="67" t="inlineStr">
        <is>
          <t> </t>
        </is>
      </c>
      <c r="C63" s="139" t="n"/>
      <c r="H63" s="104" t="n"/>
      <c r="I63" s="104" t="n"/>
      <c r="J63" s="104" t="n"/>
      <c r="K63" s="104" t="n"/>
      <c r="L63" s="104" t="n"/>
      <c r="M63" s="104" t="n"/>
      <c r="N63" s="104" t="n"/>
    </row>
    <row r="64" ht="12.75" customHeight="1" s="50">
      <c r="A64" s="67" t="inlineStr">
        <is>
          <t> </t>
        </is>
      </c>
      <c r="B64" s="67" t="inlineStr">
        <is>
          <t> </t>
        </is>
      </c>
      <c r="C64" s="139" t="n"/>
      <c r="H64" s="104" t="n"/>
      <c r="I64" s="104" t="n"/>
      <c r="J64" s="104" t="n"/>
      <c r="K64" s="104" t="n"/>
      <c r="L64" s="104" t="n"/>
      <c r="M64" s="104" t="n"/>
      <c r="N64" s="104" t="n"/>
    </row>
    <row r="65" ht="12.75" customHeight="1" s="50">
      <c r="A65" s="67" t="inlineStr">
        <is>
          <t> </t>
        </is>
      </c>
      <c r="B65" s="67" t="inlineStr">
        <is>
          <t> </t>
        </is>
      </c>
      <c r="C65" s="139" t="n"/>
      <c r="H65" s="104" t="n"/>
      <c r="I65" s="104" t="n"/>
      <c r="J65" s="104" t="n"/>
      <c r="K65" s="104" t="n"/>
      <c r="L65" s="104" t="n"/>
      <c r="M65" s="104" t="n"/>
      <c r="N65" s="104" t="n"/>
    </row>
    <row r="66" ht="12.75" customHeight="1" s="50">
      <c r="C66" s="139" t="n"/>
      <c r="H66" s="104" t="n"/>
      <c r="I66" s="104" t="n"/>
      <c r="J66" s="104" t="n"/>
      <c r="K66" s="104" t="n"/>
      <c r="L66" s="104" t="n"/>
      <c r="M66" s="104" t="n"/>
      <c r="N66" s="104" t="n"/>
    </row>
    <row r="67" ht="12.75" customHeight="1" s="50">
      <c r="C67" s="139" t="n"/>
      <c r="H67" s="104" t="n"/>
      <c r="I67" s="104" t="n"/>
      <c r="J67" s="104" t="n"/>
      <c r="K67" s="104" t="n"/>
      <c r="L67" s="104" t="n"/>
      <c r="M67" s="104" t="n"/>
      <c r="N67" s="104" t="n"/>
    </row>
    <row r="68" ht="12.75" customHeight="1" s="50">
      <c r="C68" s="139" t="n"/>
      <c r="H68" s="104" t="n"/>
      <c r="I68" s="104" t="n"/>
      <c r="J68" s="104" t="n"/>
      <c r="K68" s="104" t="n"/>
      <c r="L68" s="104" t="n"/>
      <c r="M68" s="104" t="n"/>
      <c r="N68" s="104" t="n"/>
    </row>
    <row r="69" ht="12.75" customHeight="1" s="50">
      <c r="C69" s="139" t="n"/>
      <c r="H69" s="104" t="n"/>
      <c r="I69" s="104" t="n"/>
      <c r="J69" s="104" t="n"/>
      <c r="K69" s="104" t="n"/>
      <c r="L69" s="104" t="n"/>
      <c r="M69" s="104" t="n"/>
      <c r="N69" s="104" t="n"/>
    </row>
    <row r="70" ht="12.75" customHeight="1" s="50">
      <c r="A70" s="66" t="inlineStr">
        <is>
          <t>East Tennessee</t>
        </is>
      </c>
      <c r="C70" s="103" t="inlineStr">
        <is>
          <t>[Person_3]</t>
        </is>
      </c>
      <c r="E70" s="103" t="inlineStr">
        <is>
          <t xml:space="preserve">E Tenn </t>
        </is>
      </c>
      <c r="G70" s="104" t="n"/>
      <c r="H70" s="104" t="n"/>
      <c r="I70" s="104" t="n"/>
      <c r="J70" s="104" t="n"/>
      <c r="K70" s="104" t="n"/>
      <c r="L70" s="104" t="n"/>
      <c r="M70" s="104" t="n"/>
      <c r="N70" s="104" t="n"/>
    </row>
    <row r="71" ht="12.75" customHeight="1" s="50">
      <c r="A71" s="67" t="inlineStr">
        <is>
          <t>Index</t>
        </is>
      </c>
      <c r="B71" s="67" t="inlineStr">
        <is>
          <t>LA</t>
        </is>
      </c>
      <c r="C71" s="139" t="n">
        <v>4.29</v>
      </c>
      <c r="E71" s="139">
        <f>+C77</f>
        <v/>
      </c>
      <c r="G71" s="104" t="n"/>
      <c r="H71" s="104" t="n"/>
      <c r="I71" s="104" t="n"/>
      <c r="J71" s="104" t="n"/>
      <c r="K71" s="104" t="n"/>
      <c r="L71" s="104" t="n"/>
      <c r="M71" s="104" t="n"/>
      <c r="N71" s="104" t="n"/>
    </row>
    <row r="72" ht="12.75" customHeight="1" s="50">
      <c r="A72" s="67" t="inlineStr">
        <is>
          <t>Index [Person_1]</t>
        </is>
      </c>
      <c r="C72" s="139" t="n">
        <v>0.01</v>
      </c>
      <c r="E72" s="139" t="n">
        <v>0</v>
      </c>
      <c r="G72" s="104" t="n"/>
      <c r="H72" s="104" t="n"/>
      <c r="I72" s="104" t="n"/>
      <c r="J72" s="104" t="n"/>
      <c r="K72" s="104" t="n"/>
      <c r="L72" s="104" t="n"/>
      <c r="M72" s="104" t="n"/>
      <c r="N72" s="104" t="n"/>
    </row>
    <row r="73" ht="12.75" customHeight="1" s="50">
      <c r="A73" s="67" t="inlineStr">
        <is>
          <t>Comm</t>
        </is>
      </c>
      <c r="C73" s="139" t="n">
        <v>0.0572</v>
      </c>
      <c r="E73" s="139" t="n">
        <v>0.0011</v>
      </c>
      <c r="G73" s="104" t="n"/>
      <c r="H73" s="104" t="n"/>
      <c r="I73" s="104" t="n"/>
      <c r="J73" s="104" t="n"/>
      <c r="K73" s="104" t="n"/>
      <c r="L73" s="104" t="n"/>
      <c r="M73" s="104" t="n"/>
      <c r="N73" s="104" t="n"/>
    </row>
    <row r="74" ht="12.75" customHeight="1" s="50">
      <c r="A74" s="67" t="inlineStr">
        <is>
          <t>Surcharges</t>
        </is>
      </c>
      <c r="C74" s="139" t="n">
        <v>0.0319</v>
      </c>
      <c r="E74" s="139" t="n">
        <v>0.0094</v>
      </c>
      <c r="F74" s="67" t="inlineStr">
        <is>
          <t>Note:  [Person_3] surcharge of $.0225 does not apply</t>
        </is>
      </c>
      <c r="G74" s="104" t="n"/>
      <c r="H74" s="104" t="n"/>
      <c r="I74" s="104" t="n"/>
      <c r="J74" s="104" t="n"/>
      <c r="K74" s="104" t="n"/>
      <c r="L74" s="104" t="n"/>
      <c r="M74" s="104" t="n"/>
      <c r="N74" s="104" t="n"/>
    </row>
    <row r="75" ht="12.75" customHeight="1" s="50">
      <c r="A75" s="67" t="inlineStr">
        <is>
          <t>Fuel</t>
        </is>
      </c>
      <c r="C75" s="113" t="n">
        <v>0.017</v>
      </c>
      <c r="E75" s="113" t="n">
        <v>0.022</v>
      </c>
      <c r="G75" s="104" t="n"/>
      <c r="H75" s="104" t="n"/>
      <c r="I75" s="104" t="n"/>
      <c r="J75" s="104" t="n"/>
      <c r="K75" s="104" t="n"/>
      <c r="L75" s="104" t="n"/>
      <c r="M75" s="104" t="n"/>
      <c r="N75" s="104" t="n"/>
    </row>
    <row r="76" ht="12.75" customHeight="1" s="50">
      <c r="A76" s="67" t="inlineStr">
        <is>
          <t>Transport</t>
        </is>
      </c>
      <c r="C76" s="140">
        <f>ROUND((+C71+C72)/(1-C75)-(C71+C72)+C73+C74,4)</f>
        <v/>
      </c>
      <c r="E76" s="140">
        <f>ROUND((+E71+E72)/(1-E75)-(E71+E72)+E73+E74,4)</f>
        <v/>
      </c>
      <c r="G76" s="104" t="n"/>
      <c r="H76" s="104" t="n"/>
      <c r="I76" s="104" t="n"/>
      <c r="J76" s="104" t="n"/>
      <c r="K76" s="104" t="n"/>
      <c r="L76" s="104" t="n"/>
      <c r="M76" s="104" t="n"/>
      <c r="N76" s="104" t="n"/>
    </row>
    <row r="77" ht="13.5" customHeight="1" s="50" thickBot="1">
      <c r="A77" s="67" t="inlineStr">
        <is>
          <t>Delivered Price</t>
        </is>
      </c>
      <c r="C77" s="141">
        <f>SUM(C76,C71:C72)</f>
        <v/>
      </c>
      <c r="E77" s="141">
        <f>SUM(E76,E71:E72)</f>
        <v/>
      </c>
      <c r="F77" s="67" t="inlineStr">
        <is>
          <t>Deal 231743</t>
        </is>
      </c>
      <c r="G77" s="104" t="n"/>
      <c r="H77" s="104" t="n"/>
      <c r="I77" s="104" t="n"/>
      <c r="J77" s="104" t="n"/>
      <c r="K77" s="104" t="n"/>
      <c r="L77" s="104" t="n"/>
      <c r="M77" s="104" t="n"/>
      <c r="N77" s="104" t="n"/>
    </row>
    <row r="78" ht="13.5" customHeight="1" s="50" thickTop="1">
      <c r="G78" s="104" t="n"/>
      <c r="H78" s="104" t="n"/>
      <c r="I78" s="104" t="n"/>
      <c r="J78" s="104" t="n"/>
      <c r="K78" s="104" t="n"/>
      <c r="L78" s="104" t="n"/>
      <c r="M78" s="104" t="n"/>
      <c r="N78" s="104" t="n"/>
    </row>
    <row r="79" ht="12.75" customHeight="1" s="50">
      <c r="A79" s="104" t="n"/>
      <c r="B79" s="104" t="n"/>
      <c r="C79" s="104" t="n"/>
      <c r="D79" s="104" t="n"/>
      <c r="E79" s="104" t="n"/>
      <c r="F79" s="104" t="n"/>
      <c r="G79" s="104" t="n"/>
      <c r="H79" s="104" t="n"/>
      <c r="I79" s="104" t="n"/>
      <c r="J79" s="104" t="n"/>
      <c r="K79" s="104" t="n"/>
      <c r="L79" s="104" t="n"/>
      <c r="M79" s="104" t="n"/>
      <c r="N79" s="104" t="n"/>
    </row>
    <row r="80" ht="12.75" customHeight="1" s="50">
      <c r="A80" s="104" t="n"/>
      <c r="B80" s="104" t="n"/>
      <c r="C80" s="104" t="n"/>
      <c r="D80" s="104" t="n"/>
      <c r="E80" s="104" t="n"/>
      <c r="F80" s="104" t="n"/>
      <c r="G80" s="104" t="n"/>
      <c r="H80" s="104" t="n"/>
      <c r="I80" s="104" t="n"/>
      <c r="J80" s="104" t="n"/>
      <c r="K80" s="104" t="n"/>
      <c r="L80" s="104" t="n"/>
      <c r="M80" s="104" t="n"/>
      <c r="N80" s="104" t="n"/>
    </row>
    <row r="81" ht="12.75" customHeight="1" s="50">
      <c r="A81" s="104" t="n"/>
      <c r="B81" s="104" t="n"/>
      <c r="C81" s="104" t="n"/>
      <c r="D81" s="104" t="n"/>
      <c r="E81" s="104" t="n"/>
      <c r="F81" s="104" t="n"/>
      <c r="G81" s="104" t="n"/>
      <c r="H81" s="104" t="n"/>
      <c r="I81" s="104" t="n"/>
      <c r="J81" s="104" t="n"/>
      <c r="K81" s="104" t="n"/>
      <c r="L81" s="104" t="n"/>
      <c r="M81" s="104" t="n"/>
      <c r="N81" s="104" t="n"/>
    </row>
    <row r="82" ht="12.75" customHeight="1" s="50">
      <c r="A82" s="66" t="inlineStr">
        <is>
          <t>Equitrans</t>
        </is>
      </c>
      <c r="C82" s="103" t="inlineStr">
        <is>
          <t>FTS</t>
        </is>
      </c>
      <c r="E82" s="103" t="inlineStr">
        <is>
          <t>IT</t>
        </is>
      </c>
      <c r="G82" s="104" t="n"/>
      <c r="H82" s="104" t="n"/>
      <c r="I82" s="104" t="n"/>
      <c r="J82" s="104" t="n"/>
      <c r="K82" s="104" t="n"/>
      <c r="L82" s="104" t="n"/>
      <c r="M82" s="104" t="n"/>
      <c r="N82" s="104" t="n"/>
    </row>
    <row r="83" ht="12.75" customHeight="1" s="50">
      <c r="A83" s="67" t="inlineStr">
        <is>
          <t>Index</t>
        </is>
      </c>
      <c r="B83" s="67" t="inlineStr">
        <is>
          <t>CNG</t>
        </is>
      </c>
      <c r="C83" s="139" t="n">
        <v>4.56</v>
      </c>
      <c r="E83" s="139" t="n">
        <v>4.56</v>
      </c>
      <c r="G83" s="104" t="n"/>
      <c r="H83" s="104" t="n"/>
      <c r="I83" s="104" t="n"/>
      <c r="J83" s="104" t="n"/>
      <c r="K83" s="104" t="n"/>
      <c r="L83" s="104" t="n"/>
      <c r="M83" s="104" t="n"/>
      <c r="N83" s="104" t="n"/>
    </row>
    <row r="84" ht="12.75" customHeight="1" s="50">
      <c r="A84" s="67" t="inlineStr">
        <is>
          <t>Index [Person_1]</t>
        </is>
      </c>
      <c r="C84" s="139" t="n">
        <v>0.0275</v>
      </c>
      <c r="E84" s="139" t="n">
        <v>0.0275</v>
      </c>
      <c r="G84" s="104" t="n"/>
      <c r="H84" s="104" t="n"/>
      <c r="I84" s="104" t="n"/>
      <c r="J84" s="104" t="n"/>
      <c r="K84" s="104" t="n"/>
      <c r="L84" s="104" t="n"/>
      <c r="M84" s="104" t="n"/>
      <c r="N84" s="104" t="n"/>
    </row>
    <row r="85" ht="12.75" customHeight="1" s="50">
      <c r="A85" s="67" t="inlineStr">
        <is>
          <t>Comm</t>
        </is>
      </c>
      <c r="C85" s="139" t="n">
        <v>0.0092</v>
      </c>
      <c r="E85" s="139" t="n">
        <v>0.2127</v>
      </c>
      <c r="G85" s="104" t="n"/>
      <c r="H85" s="104" t="n"/>
      <c r="I85" s="104" t="n"/>
      <c r="J85" s="104" t="n"/>
      <c r="K85" s="104" t="n"/>
      <c r="L85" s="104" t="n"/>
      <c r="M85" s="104" t="n"/>
      <c r="N85" s="104" t="n"/>
    </row>
    <row r="86" ht="12.75" customHeight="1" s="50">
      <c r="A86" s="67" t="inlineStr">
        <is>
          <t>Surcharges</t>
        </is>
      </c>
      <c r="C86" s="139" t="n">
        <v>0.0094</v>
      </c>
      <c r="E86" s="139" t="n">
        <v>0.0094</v>
      </c>
      <c r="F86" s="104" t="n"/>
      <c r="G86" s="104" t="n"/>
      <c r="H86" s="104" t="n"/>
      <c r="I86" s="104" t="n"/>
      <c r="J86" s="104" t="n"/>
      <c r="K86" s="104" t="n"/>
      <c r="L86" s="104" t="n"/>
      <c r="M86" s="104" t="n"/>
      <c r="N86" s="104" t="n"/>
    </row>
    <row r="87" ht="12.75" customHeight="1" s="50">
      <c r="A87" s="67" t="inlineStr">
        <is>
          <t>Fuel</t>
        </is>
      </c>
      <c r="C87" s="113" t="n">
        <v>0.03</v>
      </c>
      <c r="E87" s="113" t="n">
        <v>0.03</v>
      </c>
      <c r="F87" s="104" t="n"/>
      <c r="G87" s="104" t="n"/>
      <c r="H87" s="104" t="n"/>
      <c r="I87" s="104" t="n"/>
      <c r="J87" s="104" t="n"/>
      <c r="K87" s="104" t="n"/>
      <c r="L87" s="104" t="n"/>
      <c r="M87" s="104" t="n"/>
      <c r="N87" s="104" t="n"/>
    </row>
    <row r="88" ht="12.75" customHeight="1" s="50">
      <c r="A88" s="67" t="inlineStr">
        <is>
          <t>Transport</t>
        </is>
      </c>
      <c r="C88" s="140">
        <f>ROUND((+C83+C84)/(1-C87)-(C83+C84)+C85+C86,4)</f>
        <v/>
      </c>
      <c r="E88" s="140">
        <f>ROUND((+E83+E84)/(1-E87)-(E83+E84)+E85+E86,4)</f>
        <v/>
      </c>
      <c r="F88" s="104" t="n"/>
      <c r="G88" s="104" t="n"/>
      <c r="H88" s="104" t="n"/>
      <c r="I88" s="104" t="n"/>
      <c r="J88" s="104" t="n"/>
      <c r="K88" s="104" t="n"/>
      <c r="L88" s="104" t="n"/>
      <c r="M88" s="104" t="n"/>
      <c r="N88" s="104" t="n"/>
    </row>
    <row r="89" ht="13.5" customHeight="1" s="50" thickBot="1">
      <c r="A89" s="67" t="inlineStr">
        <is>
          <t>Delivered Price</t>
        </is>
      </c>
      <c r="C89" s="141">
        <f>SUM(C88,C83:C84)</f>
        <v/>
      </c>
      <c r="E89" s="141">
        <f>SUM(E88,E83:E84)</f>
        <v/>
      </c>
      <c r="F89" s="104" t="n"/>
      <c r="G89" s="104" t="n"/>
      <c r="H89" s="104" t="n"/>
      <c r="I89" s="104" t="n"/>
      <c r="J89" s="104" t="n"/>
      <c r="K89" s="104" t="n"/>
      <c r="L89" s="104" t="n"/>
      <c r="M89" s="104" t="n"/>
      <c r="N89" s="104" t="n"/>
    </row>
    <row r="90" ht="13.5" customHeight="1" s="50" thickTop="1">
      <c r="F90" s="104" t="n"/>
      <c r="G90" s="104" t="n"/>
      <c r="H90" s="104" t="n"/>
      <c r="I90" s="104" t="n"/>
      <c r="J90" s="104" t="n"/>
      <c r="K90" s="104" t="n"/>
      <c r="L90" s="104" t="n"/>
      <c r="M90" s="104" t="n"/>
      <c r="N90" s="104" t="n"/>
    </row>
    <row r="91" ht="12.75" customHeight="1" s="50">
      <c r="A91" s="67" t="inlineStr">
        <is>
          <t>Deal 229988  CES has 1,000 dth of FTS, price 1,000 day at the FTS rate, balance at the IT rate.</t>
        </is>
      </c>
      <c r="F91" s="104" t="n"/>
      <c r="G91" s="104" t="n"/>
      <c r="H91" s="104" t="n"/>
      <c r="I91" s="104" t="n"/>
      <c r="J91" s="104" t="n"/>
      <c r="K91" s="104" t="n"/>
      <c r="L91" s="104" t="n"/>
      <c r="M91" s="104" t="n"/>
      <c r="N91" s="104" t="n"/>
    </row>
    <row r="92" ht="12.75" customHeight="1" s="50">
      <c r="A92" s="104" t="n"/>
      <c r="B92" s="104" t="n"/>
      <c r="C92" s="104" t="n"/>
      <c r="D92" s="104" t="n"/>
      <c r="E92" s="104" t="n"/>
      <c r="F92" s="104" t="n"/>
      <c r="G92" s="104" t="n"/>
      <c r="H92" s="104" t="n"/>
      <c r="I92" s="104" t="n"/>
      <c r="J92" s="104" t="n"/>
      <c r="K92" s="104" t="n"/>
      <c r="L92" s="104" t="n"/>
      <c r="M92" s="104" t="n"/>
      <c r="N92" s="104" t="n"/>
    </row>
    <row r="93" ht="12.75" customHeight="1" s="50">
      <c r="A93" s="104" t="n"/>
      <c r="B93" s="104" t="n"/>
      <c r="C93" s="104" t="n"/>
      <c r="D93" s="104" t="n"/>
      <c r="E93" s="104" t="n"/>
      <c r="F93" s="104" t="n"/>
      <c r="G93" s="104" t="n"/>
      <c r="H93" s="104" t="n"/>
      <c r="I93" s="104" t="n"/>
      <c r="J93" s="104" t="n"/>
      <c r="K93" s="104" t="n"/>
      <c r="L93" s="104" t="n"/>
      <c r="M93" s="104" t="n"/>
      <c r="N93" s="104" t="n"/>
    </row>
    <row r="94" ht="12.75" customHeight="1" s="50">
      <c r="A94" s="66" t="inlineStr">
        <is>
          <t>[Person_4]</t>
        </is>
      </c>
      <c r="F94" s="104" t="n"/>
      <c r="G94" s="104" t="n"/>
      <c r="H94" s="104" t="n"/>
      <c r="I94" s="104" t="n"/>
      <c r="J94" s="104" t="n"/>
      <c r="K94" s="104" t="n"/>
      <c r="L94" s="104" t="n"/>
      <c r="M94" s="104" t="n"/>
      <c r="N94" s="104" t="n"/>
    </row>
    <row r="95" ht="12.75" customHeight="1" s="50">
      <c r="A95" s="67" t="inlineStr">
        <is>
          <t>Index</t>
        </is>
      </c>
      <c r="B95" s="67" t="inlineStr">
        <is>
          <t>Z1</t>
        </is>
      </c>
      <c r="C95" s="139" t="n">
        <v>4.29</v>
      </c>
      <c r="F95" s="104" t="n"/>
      <c r="G95" s="104" t="n"/>
      <c r="H95" s="104" t="n"/>
      <c r="I95" s="104" t="n"/>
      <c r="J95" s="104" t="n"/>
      <c r="K95" s="104" t="n"/>
      <c r="L95" s="104" t="n"/>
      <c r="M95" s="104" t="n"/>
      <c r="N95" s="104" t="n"/>
    </row>
    <row r="96" ht="12.75" customHeight="1" s="50">
      <c r="A96" s="67" t="inlineStr">
        <is>
          <t>Index [Person_1]</t>
        </is>
      </c>
      <c r="C96" s="139" t="n">
        <v>0.01</v>
      </c>
      <c r="F96" s="104" t="n"/>
      <c r="G96" s="104" t="n"/>
      <c r="H96" s="104" t="n"/>
      <c r="I96" s="104" t="n"/>
      <c r="J96" s="104" t="n"/>
      <c r="K96" s="104" t="n"/>
      <c r="L96" s="104" t="n"/>
      <c r="M96" s="104" t="n"/>
      <c r="N96" s="104" t="n"/>
    </row>
    <row r="97" ht="12.75" customHeight="1" s="50">
      <c r="A97" s="67" t="inlineStr">
        <is>
          <t>Comm</t>
        </is>
      </c>
      <c r="C97" s="139" t="n">
        <v>0.1126</v>
      </c>
      <c r="F97" s="104" t="n"/>
      <c r="G97" s="104" t="n"/>
      <c r="H97" s="104" t="n"/>
      <c r="I97" s="104" t="n"/>
      <c r="J97" s="104" t="n"/>
      <c r="K97" s="104" t="n"/>
      <c r="L97" s="104" t="n"/>
      <c r="M97" s="104" t="n"/>
      <c r="N97" s="104" t="n"/>
    </row>
    <row r="98" ht="12.75" customHeight="1" s="50">
      <c r="A98" s="67" t="inlineStr">
        <is>
          <t>Surcharges</t>
        </is>
      </c>
      <c r="C98" s="139" t="n">
        <v>0.0094</v>
      </c>
      <c r="F98" s="104" t="n"/>
      <c r="G98" s="104" t="n"/>
      <c r="H98" s="104" t="n"/>
      <c r="I98" s="104" t="n"/>
      <c r="J98" s="104" t="n"/>
      <c r="K98" s="104" t="n"/>
      <c r="L98" s="104" t="n"/>
      <c r="M98" s="104" t="n"/>
      <c r="N98" s="104" t="n"/>
    </row>
    <row r="99" ht="12.75" customHeight="1" s="50">
      <c r="A99" s="67" t="inlineStr">
        <is>
          <t>Fuel</t>
        </is>
      </c>
      <c r="C99" s="113" t="n">
        <v>0.0597</v>
      </c>
      <c r="F99" s="104" t="n"/>
      <c r="G99" s="104" t="n"/>
      <c r="H99" s="104" t="n"/>
      <c r="I99" s="104" t="n"/>
      <c r="J99" s="104" t="n"/>
      <c r="K99" s="104" t="n"/>
      <c r="L99" s="104" t="n"/>
      <c r="M99" s="104" t="n"/>
      <c r="N99" s="104" t="n"/>
    </row>
    <row r="100" ht="12.75" customHeight="1" s="50">
      <c r="A100" s="67" t="inlineStr">
        <is>
          <t>Transport</t>
        </is>
      </c>
      <c r="C100" s="140">
        <f>ROUND((+C95+C96)/(1-C99)-(C95+C96)+C97+C98,4)</f>
        <v/>
      </c>
      <c r="F100" s="104" t="n"/>
      <c r="G100" s="104" t="n"/>
      <c r="H100" s="104" t="n"/>
      <c r="I100" s="104" t="n"/>
      <c r="J100" s="104" t="n"/>
      <c r="K100" s="104" t="n"/>
      <c r="L100" s="104" t="n"/>
      <c r="M100" s="104" t="n"/>
      <c r="N100" s="104" t="n"/>
    </row>
    <row r="101" ht="13.5" customHeight="1" s="50" thickBot="1">
      <c r="C101" s="141">
        <f>SUM(C100,C95:C96)</f>
        <v/>
      </c>
      <c r="D101" s="67" t="inlineStr">
        <is>
          <t>Deal 229573, 234424</t>
        </is>
      </c>
      <c r="F101" s="104" t="n"/>
      <c r="G101" s="104" t="n"/>
      <c r="H101" s="104" t="n"/>
      <c r="I101" s="104" t="n"/>
      <c r="J101" s="104" t="n"/>
      <c r="K101" s="104" t="n"/>
      <c r="L101" s="104" t="n"/>
      <c r="M101" s="104" t="n"/>
      <c r="N101" s="104" t="n"/>
    </row>
    <row r="102" ht="13.5" customHeight="1" s="50" thickTop="1">
      <c r="E102" s="104" t="n"/>
      <c r="F102" s="104" t="n"/>
      <c r="G102" s="104" t="n"/>
      <c r="H102" s="104" t="n"/>
      <c r="I102" s="104" t="n"/>
      <c r="J102" s="104" t="n"/>
      <c r="K102" s="104" t="n"/>
      <c r="L102" s="104" t="n"/>
      <c r="M102" s="104" t="n"/>
      <c r="N102" s="104" t="n"/>
    </row>
    <row r="103" ht="12.75" customHeight="1" s="50">
      <c r="A103" s="104" t="n"/>
      <c r="B103" s="104" t="n"/>
      <c r="C103" s="104" t="n"/>
      <c r="D103" s="104" t="n"/>
      <c r="E103" s="104" t="n"/>
      <c r="F103" s="104" t="n"/>
      <c r="G103" s="104" t="n"/>
      <c r="H103" s="104" t="n"/>
      <c r="I103" s="104" t="n"/>
      <c r="J103" s="104" t="n"/>
      <c r="K103" s="104" t="n"/>
      <c r="L103" s="104" t="n"/>
      <c r="M103" s="104" t="n"/>
      <c r="N103" s="104" t="n"/>
    </row>
    <row r="104" ht="12.75" customHeight="1" s="50">
      <c r="A104" s="66" t="inlineStr">
        <is>
          <t>Texas Eastern M3</t>
        </is>
      </c>
      <c r="E104" s="104" t="n"/>
      <c r="F104" s="104" t="n"/>
      <c r="G104" s="104" t="n"/>
      <c r="H104" s="104" t="n"/>
      <c r="I104" s="104" t="n"/>
      <c r="J104" s="104" t="n"/>
      <c r="K104" s="104" t="n"/>
      <c r="L104" s="104" t="n"/>
      <c r="M104" s="104" t="n"/>
      <c r="N104" s="104" t="n"/>
    </row>
    <row r="105" ht="12.75" customHeight="1" s="50">
      <c r="A105" s="67" t="inlineStr">
        <is>
          <t>Index</t>
        </is>
      </c>
      <c r="B105" s="67" t="inlineStr">
        <is>
          <t>Ela</t>
        </is>
      </c>
      <c r="C105" s="139" t="n">
        <v>4.3</v>
      </c>
      <c r="E105" s="104" t="n"/>
      <c r="F105" s="104" t="n"/>
      <c r="G105" s="104" t="n"/>
      <c r="H105" s="104" t="n"/>
      <c r="I105" s="104" t="n"/>
      <c r="J105" s="104" t="n"/>
      <c r="K105" s="104" t="n"/>
      <c r="L105" s="104" t="n"/>
      <c r="M105" s="104" t="n"/>
      <c r="N105" s="104" t="n"/>
    </row>
    <row r="106" ht="12.75" customHeight="1" s="50">
      <c r="A106" s="67" t="inlineStr">
        <is>
          <t>Index [Person_1]</t>
        </is>
      </c>
      <c r="C106" s="139" t="n">
        <v>0.01</v>
      </c>
      <c r="E106" s="104" t="n"/>
      <c r="F106" s="104" t="n"/>
      <c r="G106" s="104" t="n"/>
      <c r="H106" s="104" t="n"/>
      <c r="I106" s="104" t="n"/>
      <c r="J106" s="104" t="n"/>
      <c r="K106" s="104" t="n"/>
      <c r="L106" s="104" t="n"/>
      <c r="M106" s="104" t="n"/>
      <c r="N106" s="104" t="n"/>
    </row>
    <row r="107" ht="12.75" customHeight="1" s="50">
      <c r="A107" s="67" t="inlineStr">
        <is>
          <t>Comm</t>
        </is>
      </c>
      <c r="C107" s="139" t="n">
        <v>0.1012</v>
      </c>
      <c r="E107" s="104" t="n"/>
      <c r="F107" s="104" t="n"/>
      <c r="G107" s="104" t="n"/>
      <c r="H107" s="104" t="n"/>
      <c r="I107" s="104" t="n"/>
      <c r="J107" s="104" t="n"/>
      <c r="K107" s="104" t="n"/>
      <c r="L107" s="104" t="n"/>
      <c r="M107" s="104" t="n"/>
      <c r="N107" s="104" t="n"/>
    </row>
    <row r="108" ht="12.75" customHeight="1" s="50">
      <c r="A108" s="67" t="inlineStr">
        <is>
          <t>Surcharges</t>
        </is>
      </c>
      <c r="C108" s="139" t="n">
        <v>0.0094</v>
      </c>
      <c r="E108" s="104" t="n"/>
      <c r="F108" s="104" t="n"/>
      <c r="G108" s="104" t="n"/>
      <c r="H108" s="104" t="n"/>
      <c r="I108" s="104" t="n"/>
      <c r="J108" s="104" t="n"/>
      <c r="K108" s="104" t="n"/>
      <c r="L108" s="104" t="n"/>
      <c r="M108" s="104" t="n"/>
      <c r="N108" s="104" t="n"/>
    </row>
    <row r="109" ht="12.75" customHeight="1" s="50">
      <c r="A109" s="67" t="inlineStr">
        <is>
          <t>Fuel</t>
        </is>
      </c>
      <c r="C109" s="113" t="n">
        <v>0.07049999999999999</v>
      </c>
      <c r="E109" s="104" t="n"/>
      <c r="F109" s="104" t="n"/>
      <c r="G109" s="104" t="n"/>
      <c r="H109" s="104" t="n"/>
      <c r="I109" s="104" t="n"/>
      <c r="J109" s="104" t="n"/>
      <c r="K109" s="104" t="n"/>
      <c r="L109" s="104" t="n"/>
      <c r="M109" s="104" t="n"/>
      <c r="N109" s="104" t="n"/>
    </row>
    <row r="110" ht="12.75" customHeight="1" s="50">
      <c r="A110" s="67" t="inlineStr">
        <is>
          <t>Transport</t>
        </is>
      </c>
      <c r="C110" s="140">
        <f>ROUND((+C105+C106)/(1-C109)-(C105+C106)+C107+C108,4)</f>
        <v/>
      </c>
      <c r="D110" s="67" t="inlineStr">
        <is>
          <t>Deal 228296 ENA will bill CES 895 dth/day at Ela + $.01 + transport</t>
        </is>
      </c>
      <c r="E110" s="104" t="n"/>
      <c r="F110" s="104" t="n"/>
      <c r="G110" s="104" t="n"/>
      <c r="H110" s="104" t="n"/>
      <c r="I110" s="104" t="n"/>
      <c r="J110" s="104" t="n"/>
      <c r="K110" s="104" t="n"/>
      <c r="L110" s="104" t="n"/>
      <c r="M110" s="104" t="n"/>
      <c r="N110" s="104" t="n"/>
    </row>
    <row r="111" ht="13.5" customHeight="1" s="50" thickBot="1">
      <c r="C111" s="141">
        <f>SUM(C110,C105:C106)</f>
        <v/>
      </c>
      <c r="D111" s="67" t="inlineStr">
        <is>
          <t>The balance of the volumes on this deal will be billed Tetco M3 IF + $.01</t>
        </is>
      </c>
      <c r="E111" s="104" t="n"/>
      <c r="F111" s="104" t="n"/>
      <c r="G111" s="104" t="n"/>
      <c r="H111" s="104" t="n"/>
      <c r="I111" s="104" t="n"/>
      <c r="J111" s="104" t="n"/>
      <c r="K111" s="104" t="n"/>
      <c r="L111" s="104" t="n"/>
      <c r="M111" s="104" t="n"/>
      <c r="N111" s="104" t="n"/>
    </row>
    <row r="112" ht="13.5" customHeight="1" s="50" thickTop="1">
      <c r="E112" s="104" t="n"/>
      <c r="F112" s="104" t="n"/>
      <c r="G112" s="104" t="n"/>
      <c r="H112" s="104" t="n"/>
      <c r="I112" s="104" t="n"/>
      <c r="J112" s="104" t="n"/>
      <c r="K112" s="104" t="n"/>
      <c r="L112" s="104" t="n"/>
      <c r="M112" s="104" t="n"/>
      <c r="N112" s="104" t="n"/>
    </row>
    <row r="113" ht="12.75" customHeight="1" s="50">
      <c r="A113" s="67" t="inlineStr">
        <is>
          <t>CES has 895 dt of Access to M3 space.</t>
        </is>
      </c>
      <c r="E113" s="104" t="n"/>
      <c r="F113" s="104" t="n"/>
      <c r="G113" s="104" t="n"/>
      <c r="H113" s="104" t="n"/>
      <c r="I113" s="104" t="n"/>
      <c r="J113" s="104" t="n"/>
      <c r="K113" s="104" t="n"/>
      <c r="L113" s="104" t="n"/>
      <c r="M113" s="104" t="n"/>
      <c r="N113" s="104" t="n"/>
    </row>
    <row r="114" ht="12.75" customHeight="1" s="50">
      <c r="A114" s="104" t="n"/>
      <c r="B114" s="104" t="n"/>
      <c r="C114" s="104" t="n"/>
      <c r="D114" s="104" t="n"/>
      <c r="E114" s="104" t="n"/>
      <c r="F114" s="104" t="n"/>
      <c r="G114" s="104" t="n"/>
      <c r="H114" s="104" t="n"/>
      <c r="I114" s="104" t="n"/>
      <c r="J114" s="104" t="n"/>
      <c r="K114" s="104" t="n"/>
      <c r="L114" s="104" t="n"/>
      <c r="M114" s="104" t="n"/>
      <c r="N114" s="104" t="n"/>
    </row>
    <row r="115" ht="12.75" customHeight="1" s="50">
      <c r="A115" s="104" t="n"/>
      <c r="B115" s="104" t="n"/>
      <c r="C115" s="104" t="n"/>
      <c r="D115" s="104" t="n"/>
      <c r="E115" s="104" t="n"/>
      <c r="F115" s="104" t="n"/>
      <c r="G115" s="104" t="n"/>
      <c r="H115" s="104" t="n"/>
      <c r="I115" s="104" t="n"/>
      <c r="J115" s="104" t="n"/>
      <c r="K115" s="104" t="n"/>
      <c r="L115" s="104" t="n"/>
      <c r="M115" s="104" t="n"/>
      <c r="N115" s="104" t="n"/>
    </row>
    <row r="116" ht="12.75" customHeight="1" s="50">
      <c r="A116" s="104" t="n"/>
      <c r="B116" s="104" t="n"/>
      <c r="C116" s="104" t="n"/>
      <c r="D116" s="104" t="n"/>
      <c r="E116" s="104" t="n"/>
      <c r="F116" s="104" t="n"/>
      <c r="G116" s="104" t="n"/>
      <c r="H116" s="104" t="n"/>
      <c r="I116" s="104" t="n"/>
      <c r="J116" s="104" t="n"/>
      <c r="K116" s="104" t="n"/>
      <c r="L116" s="104" t="n"/>
      <c r="M116" s="104" t="n"/>
      <c r="N116" s="104" t="n"/>
    </row>
    <row r="117" ht="12.75" customHeight="1" s="50">
      <c r="A117" s="104" t="n"/>
      <c r="B117" s="104" t="n"/>
      <c r="C117" s="104" t="n"/>
      <c r="D117" s="104" t="n"/>
      <c r="E117" s="104" t="n"/>
      <c r="F117" s="104" t="n"/>
      <c r="G117" s="104" t="n"/>
      <c r="H117" s="104" t="n"/>
      <c r="I117" s="104" t="n"/>
      <c r="J117" s="104" t="n"/>
      <c r="K117" s="104" t="n"/>
      <c r="L117" s="104" t="n"/>
      <c r="M117" s="104" t="n"/>
      <c r="N117" s="104" t="n"/>
    </row>
    <row r="118" ht="12.75" customHeight="1" s="50">
      <c r="A118" s="104" t="n"/>
      <c r="B118" s="104" t="n"/>
      <c r="C118" s="104" t="n"/>
      <c r="D118" s="104" t="n"/>
      <c r="E118" s="104" t="n"/>
      <c r="F118" s="104" t="n"/>
      <c r="G118" s="104" t="n"/>
      <c r="H118" s="104" t="n"/>
      <c r="I118" s="104" t="n"/>
      <c r="J118" s="104" t="n"/>
      <c r="K118" s="104" t="n"/>
      <c r="L118" s="104" t="n"/>
      <c r="M118" s="104" t="n"/>
      <c r="N118" s="104" t="n"/>
    </row>
    <row r="119" ht="12.75" customHeight="1" s="50">
      <c r="A119" s="104" t="n"/>
      <c r="B119" s="104" t="n"/>
      <c r="C119" s="104" t="n"/>
      <c r="D119" s="104" t="n"/>
      <c r="E119" s="104" t="n"/>
      <c r="F119" s="104" t="n"/>
      <c r="G119" s="104" t="n"/>
      <c r="H119" s="104" t="n"/>
      <c r="I119" s="104" t="n"/>
      <c r="J119" s="104" t="n"/>
      <c r="K119" s="104" t="n"/>
      <c r="L119" s="104" t="n"/>
      <c r="M119" s="104" t="n"/>
      <c r="N119" s="104" t="n"/>
    </row>
    <row r="120" ht="12.75" customHeight="1" s="50">
      <c r="A120" s="104" t="n"/>
      <c r="B120" s="104" t="n"/>
      <c r="C120" s="104" t="n"/>
      <c r="D120" s="104" t="n"/>
      <c r="E120" s="104" t="n"/>
      <c r="F120" s="104" t="n"/>
      <c r="G120" s="104" t="n"/>
      <c r="H120" s="104" t="n"/>
      <c r="I120" s="104" t="n"/>
      <c r="J120" s="104" t="n"/>
      <c r="K120" s="104" t="n"/>
      <c r="L120" s="104" t="n"/>
      <c r="M120" s="104" t="n"/>
      <c r="N120" s="104" t="n"/>
    </row>
    <row r="121" ht="12.75" customHeight="1" s="50">
      <c r="A121" s="65" t="inlineStr">
        <is>
          <t>Transco</t>
        </is>
      </c>
    </row>
    <row r="122" ht="12.75" customHeight="1" s="50">
      <c r="D122" s="94" t="n"/>
      <c r="F122" s="144" t="n"/>
    </row>
    <row r="123">
      <c r="A123" s="67" t="inlineStr">
        <is>
          <t>FT Z3-Z6</t>
        </is>
      </c>
      <c r="E123" s="67" t="n"/>
      <c r="F123" s="67" t="n"/>
      <c r="G123" s="67" t="n"/>
      <c r="H123" s="67" t="n"/>
      <c r="I123" s="67" t="n"/>
      <c r="J123" s="67" t="n"/>
      <c r="K123" s="67" t="n"/>
      <c r="L123" s="67" t="n"/>
    </row>
    <row r="124" ht="12.75" customHeight="1" s="50">
      <c r="A124" s="67" t="inlineStr">
        <is>
          <t>Index</t>
        </is>
      </c>
      <c r="B124" s="67" t="inlineStr">
        <is>
          <t>St 65</t>
        </is>
      </c>
      <c r="C124" s="139" t="n">
        <v>4.36</v>
      </c>
      <c r="E124" s="67" t="n"/>
      <c r="F124" s="67" t="n"/>
      <c r="G124" s="139" t="n"/>
      <c r="H124" s="67" t="n"/>
      <c r="I124" s="67" t="n"/>
      <c r="J124" s="67" t="n"/>
      <c r="K124" s="139" t="n"/>
    </row>
    <row r="125" ht="12.75" customHeight="1" s="50">
      <c r="C125" s="139" t="n">
        <v>0.0075</v>
      </c>
      <c r="E125" s="67" t="n"/>
      <c r="F125" s="67" t="n"/>
      <c r="G125" s="139" t="n"/>
      <c r="H125" s="67" t="n"/>
      <c r="I125" s="67" t="n"/>
      <c r="J125" s="67" t="n"/>
      <c r="K125" s="139" t="n"/>
    </row>
    <row r="126" ht="12.75" customHeight="1" s="50">
      <c r="A126" s="67" t="inlineStr">
        <is>
          <t>Comm</t>
        </is>
      </c>
      <c r="C126" s="139" t="n">
        <v>0.0274</v>
      </c>
      <c r="E126" s="67" t="n"/>
      <c r="G126" s="139" t="n"/>
      <c r="H126" s="67" t="n"/>
      <c r="I126" s="67" t="n"/>
      <c r="K126" s="139" t="n"/>
    </row>
    <row r="127" ht="12.75" customHeight="1" s="50">
      <c r="A127" s="67" t="inlineStr">
        <is>
          <t>Surcharges</t>
        </is>
      </c>
      <c r="C127" s="139" t="n">
        <v>0.0225</v>
      </c>
      <c r="E127" s="67" t="n"/>
      <c r="G127" s="139" t="n"/>
      <c r="H127" s="67" t="n"/>
      <c r="I127" s="67" t="n"/>
      <c r="K127" s="139" t="n"/>
    </row>
    <row r="128" ht="12.75" customHeight="1" s="50">
      <c r="A128" s="67" t="inlineStr">
        <is>
          <t>Fuel</t>
        </is>
      </c>
      <c r="B128" s="146" t="n"/>
      <c r="C128" s="113" t="n">
        <v>0.0472</v>
      </c>
      <c r="E128" s="67" t="n"/>
      <c r="F128" s="146" t="n"/>
      <c r="G128" s="113" t="n"/>
      <c r="H128" s="67" t="n"/>
      <c r="I128" s="67" t="n"/>
      <c r="J128" s="146" t="n"/>
      <c r="K128" s="113" t="n"/>
    </row>
    <row r="129" ht="12.75" customHeight="1" s="50">
      <c r="A129" s="67" t="inlineStr">
        <is>
          <t>Transport</t>
        </is>
      </c>
      <c r="C129" s="140">
        <f>ROUND((+C124+C125)/(1-C128)+(C126+C127),4)-C124-C125</f>
        <v/>
      </c>
      <c r="E129" s="67" t="n"/>
      <c r="F129" s="67" t="n"/>
      <c r="G129" s="139" t="n"/>
      <c r="H129" s="67" t="n"/>
      <c r="I129" s="67" t="n"/>
      <c r="J129" s="67" t="n"/>
      <c r="K129" s="139" t="n"/>
    </row>
    <row r="130" ht="13.5" customHeight="1" s="50" thickBot="1">
      <c r="C130" s="141">
        <f>SUM(C129,C124:C125)</f>
        <v/>
      </c>
      <c r="D130" s="67" t="inlineStr">
        <is>
          <t>Deal 232619</t>
        </is>
      </c>
      <c r="E130" s="67" t="n"/>
      <c r="F130" s="67" t="n"/>
      <c r="G130" s="67" t="n"/>
      <c r="H130" s="67" t="n"/>
      <c r="I130" s="67" t="n"/>
      <c r="J130" s="67" t="n"/>
      <c r="K130" s="67" t="n"/>
      <c r="M130" s="144" t="n"/>
      <c r="N130" s="139" t="n"/>
    </row>
    <row r="131" ht="13.5" customHeight="1" s="50" thickTop="1">
      <c r="C131" s="139" t="n"/>
      <c r="G131" s="144" t="n"/>
      <c r="H131" s="147" t="n"/>
    </row>
    <row r="132" ht="12.75" customHeight="1" s="50">
      <c r="L132" s="139" t="n"/>
    </row>
    <row r="133" ht="12.75" customHeight="1" s="50">
      <c r="A133" s="104" t="n"/>
      <c r="B133" s="104" t="n"/>
      <c r="C133" s="104" t="n"/>
      <c r="D133" s="104" t="n"/>
      <c r="E133" s="104" t="n"/>
      <c r="F133" s="104" t="n"/>
      <c r="G133" s="104" t="n"/>
      <c r="H133" s="104" t="n"/>
      <c r="I133" s="104" t="n"/>
      <c r="J133" s="104" t="n"/>
      <c r="K133" s="104" t="n"/>
      <c r="L133" s="104" t="n"/>
      <c r="M133" s="104" t="n"/>
      <c r="N133" s="104" t="n"/>
    </row>
    <row r="134">
      <c r="A134" s="67" t="inlineStr">
        <is>
          <t>FT Z3-Z4</t>
        </is>
      </c>
      <c r="E134" s="67" t="n"/>
      <c r="F134" s="67" t="n"/>
      <c r="G134" s="67" t="n"/>
      <c r="H134" s="67" t="n"/>
      <c r="I134" s="67" t="n"/>
      <c r="J134" s="67" t="n"/>
      <c r="K134" s="67" t="n"/>
      <c r="L134" s="67" t="n"/>
    </row>
    <row r="135" ht="12.75" customHeight="1" s="50">
      <c r="A135" s="67" t="inlineStr">
        <is>
          <t>Index</t>
        </is>
      </c>
      <c r="B135" s="67" t="inlineStr">
        <is>
          <t>St 65</t>
        </is>
      </c>
      <c r="C135" s="139" t="n">
        <v>4.36</v>
      </c>
      <c r="E135" s="67" t="n"/>
      <c r="F135" s="67" t="n"/>
      <c r="G135" s="139" t="n"/>
      <c r="H135" s="67" t="n"/>
      <c r="I135" s="67" t="n"/>
      <c r="J135" s="67" t="n"/>
      <c r="K135" s="139" t="n"/>
    </row>
    <row r="136" ht="12.75" customHeight="1" s="50">
      <c r="C136" s="139" t="n">
        <v>0.0075</v>
      </c>
      <c r="E136" s="67" t="n"/>
      <c r="F136" s="67" t="n"/>
      <c r="G136" s="139" t="n"/>
      <c r="H136" s="67" t="n"/>
      <c r="I136" s="67" t="n"/>
      <c r="J136" s="67" t="n"/>
      <c r="K136" s="139" t="n"/>
    </row>
    <row r="137" ht="12.75" customHeight="1" s="50">
      <c r="A137" s="67" t="inlineStr">
        <is>
          <t>Comm</t>
        </is>
      </c>
      <c r="C137" s="139" t="n">
        <v>0.014</v>
      </c>
      <c r="E137" s="67" t="n"/>
      <c r="G137" s="139" t="n"/>
      <c r="H137" s="67" t="n"/>
      <c r="I137" s="67" t="n"/>
      <c r="K137" s="139" t="n"/>
    </row>
    <row r="138" ht="12.75" customHeight="1" s="50">
      <c r="A138" s="67" t="inlineStr">
        <is>
          <t>Surcharges</t>
        </is>
      </c>
      <c r="C138" s="139" t="n">
        <v>0.0225</v>
      </c>
      <c r="E138" s="67" t="n"/>
      <c r="G138" s="139" t="n"/>
      <c r="H138" s="67" t="n"/>
      <c r="I138" s="67" t="n"/>
      <c r="K138" s="139" t="n"/>
    </row>
    <row r="139" ht="12.75" customHeight="1" s="50">
      <c r="A139" s="67" t="inlineStr">
        <is>
          <t>Fuel</t>
        </is>
      </c>
      <c r="B139" s="146" t="n"/>
      <c r="C139" s="113" t="n">
        <v>0.0235</v>
      </c>
      <c r="E139" s="67" t="n"/>
      <c r="F139" s="146" t="n"/>
      <c r="G139" s="113" t="n"/>
      <c r="H139" s="67" t="n"/>
      <c r="I139" s="67" t="n"/>
      <c r="J139" s="146" t="n"/>
      <c r="K139" s="113" t="n"/>
    </row>
    <row r="140" ht="12.75" customHeight="1" s="50">
      <c r="A140" s="67" t="inlineStr">
        <is>
          <t>Transport</t>
        </is>
      </c>
      <c r="C140" s="140">
        <f>ROUND((+C135+C136)/(1-C139)+(C137+C138),4)-C135-C136</f>
        <v/>
      </c>
      <c r="E140" s="67" t="n"/>
      <c r="F140" s="67" t="n"/>
      <c r="G140" s="139" t="n"/>
      <c r="H140" s="67" t="n"/>
      <c r="I140" s="67" t="n"/>
      <c r="J140" s="67" t="n"/>
      <c r="K140" s="139" t="n"/>
    </row>
    <row r="141" ht="13.5" customHeight="1" s="50" thickBot="1">
      <c r="C141" s="141">
        <f>SUM(C140,C135:C136)</f>
        <v/>
      </c>
      <c r="D141" s="67" t="inlineStr">
        <is>
          <t>Deal 231742</t>
        </is>
      </c>
      <c r="E141" s="67" t="n"/>
      <c r="F141" s="67" t="n"/>
      <c r="G141" s="67" t="n"/>
      <c r="H141" s="67" t="n"/>
      <c r="I141" s="67" t="n"/>
      <c r="J141" s="67" t="n"/>
      <c r="K141" s="67" t="n"/>
      <c r="M141" s="144" t="n"/>
      <c r="N141" s="139" t="n"/>
    </row>
    <row r="142" ht="13.5" customHeight="1" s="50" thickTop="1">
      <c r="C142" s="139" t="n"/>
      <c r="G142" s="144" t="n"/>
      <c r="H142" s="147" t="n"/>
    </row>
    <row r="143" ht="12.75" customHeight="1" s="50">
      <c r="A143" s="104" t="n"/>
      <c r="B143" s="104" t="n"/>
      <c r="C143" s="104" t="n"/>
      <c r="D143" s="104" t="n"/>
      <c r="E143" s="104" t="n"/>
      <c r="F143" s="104" t="n"/>
      <c r="G143" s="104" t="n"/>
      <c r="H143" s="104" t="n"/>
      <c r="I143" s="104" t="n"/>
      <c r="J143" s="104" t="n"/>
      <c r="K143" s="104" t="n"/>
      <c r="L143" s="104" t="n"/>
      <c r="M143" s="104" t="n"/>
      <c r="N143" s="104" t="n"/>
    </row>
    <row r="144" ht="12.75" customHeight="1" s="50">
      <c r="A144" s="104" t="n"/>
      <c r="B144" s="104" t="n"/>
      <c r="C144" s="104" t="n"/>
      <c r="D144" s="104" t="n"/>
      <c r="E144" s="104" t="n"/>
      <c r="F144" s="104" t="n"/>
      <c r="G144" s="104" t="n"/>
      <c r="H144" s="104" t="n"/>
      <c r="I144" s="104" t="n"/>
      <c r="J144" s="104" t="n"/>
      <c r="K144" s="104" t="n"/>
      <c r="L144" s="104" t="n"/>
      <c r="M144" s="104" t="n"/>
      <c r="N144" s="104" t="n"/>
    </row>
    <row r="145">
      <c r="A145" s="67" t="inlineStr">
        <is>
          <t>[Person_5] Schedule FTSR No. 37F</t>
        </is>
      </c>
      <c r="I145" s="67" t="inlineStr">
        <is>
          <t>[Person_6]. 37M</t>
        </is>
      </c>
    </row>
    <row r="146" ht="12.75" customHeight="1" s="50">
      <c r="A146" s="67" t="inlineStr">
        <is>
          <t>Index</t>
        </is>
      </c>
      <c r="B146" s="67" t="inlineStr">
        <is>
          <t>St 85</t>
        </is>
      </c>
      <c r="C146" s="139" t="n">
        <v>4.37</v>
      </c>
      <c r="I146" s="67" t="inlineStr">
        <is>
          <t>Index</t>
        </is>
      </c>
      <c r="J146" s="67" t="inlineStr">
        <is>
          <t>St 85</t>
        </is>
      </c>
      <c r="K146" s="139" t="n">
        <v>4.37</v>
      </c>
    </row>
    <row r="147" ht="12.75" customHeight="1" s="50">
      <c r="A147" s="67" t="inlineStr">
        <is>
          <t>Index [Person_1]</t>
        </is>
      </c>
      <c r="C147" s="139" t="n">
        <v>0.0175</v>
      </c>
      <c r="K147" s="139" t="n">
        <v>0.0175</v>
      </c>
    </row>
    <row r="148" ht="12.75" customHeight="1" s="50">
      <c r="A148" s="67" t="inlineStr">
        <is>
          <t>Comm</t>
        </is>
      </c>
      <c r="C148" s="139" t="n">
        <v>0.0115</v>
      </c>
      <c r="I148" s="67" t="inlineStr">
        <is>
          <t>Comm</t>
        </is>
      </c>
      <c r="K148" s="139" t="n">
        <v>0.0023</v>
      </c>
    </row>
    <row r="149" ht="12.75" customHeight="1" s="50">
      <c r="A149" s="67" t="inlineStr">
        <is>
          <t>Surcharges</t>
        </is>
      </c>
      <c r="C149" s="139" t="n">
        <v>0.0094</v>
      </c>
      <c r="D149" s="67" t="inlineStr">
        <is>
          <t>(excluded Great Plains)</t>
        </is>
      </c>
      <c r="I149" s="67" t="inlineStr">
        <is>
          <t>Surcharges</t>
        </is>
      </c>
      <c r="K149" s="139" t="n">
        <v>0.0094</v>
      </c>
      <c r="L149" s="67" t="inlineStr">
        <is>
          <t>(excluded Great Plains)</t>
        </is>
      </c>
    </row>
    <row r="150" ht="12.75" customHeight="1" s="50">
      <c r="A150" s="67" t="inlineStr">
        <is>
          <t>Fuel</t>
        </is>
      </c>
      <c r="B150" s="146" t="n"/>
      <c r="C150" s="113" t="n">
        <v>0.019</v>
      </c>
      <c r="I150" s="67" t="inlineStr">
        <is>
          <t>Fuel</t>
        </is>
      </c>
      <c r="J150" s="146" t="n"/>
      <c r="K150" s="113" t="n">
        <v>0.019</v>
      </c>
    </row>
    <row r="151" ht="12.75" customHeight="1" s="50">
      <c r="A151" s="67" t="inlineStr">
        <is>
          <t>Transport</t>
        </is>
      </c>
      <c r="C151" s="140">
        <f>ROUND((+C146+C147)/(1-C150)+(C148+C149),4)-C146-C147</f>
        <v/>
      </c>
      <c r="I151" s="67" t="inlineStr">
        <is>
          <t>Transport</t>
        </is>
      </c>
      <c r="K151" s="140">
        <f>ROUND((+K146+K147)/(1-K150)+(K148+K149),4)-K146-K147</f>
        <v/>
      </c>
    </row>
    <row r="152" ht="13.5" customHeight="1" s="50" thickBot="1">
      <c r="A152" s="67" t="inlineStr">
        <is>
          <t>Delivered Price</t>
        </is>
      </c>
      <c r="C152" s="141">
        <f>SUM(C151,C146:C147)</f>
        <v/>
      </c>
      <c r="D152" s="67" t="inlineStr">
        <is>
          <t>Deal 231741</t>
        </is>
      </c>
      <c r="I152" s="67" t="inlineStr">
        <is>
          <t>Delivered Price</t>
        </is>
      </c>
      <c r="J152" s="67" t="n"/>
      <c r="K152" s="141">
        <f>SUM(K151,K146:K147)</f>
        <v/>
      </c>
      <c r="L152" t="inlineStr">
        <is>
          <t>Deal 206266</t>
        </is>
      </c>
      <c r="M152" s="144" t="n"/>
      <c r="N152" s="139" t="n"/>
    </row>
    <row r="153" ht="13.5" customHeight="1" s="50" thickTop="1">
      <c r="C153" s="139" t="n"/>
      <c r="G153" s="144" t="n"/>
      <c r="H153" s="147" t="n"/>
    </row>
    <row r="154" ht="12.75" customHeight="1" s="50">
      <c r="A154" s="104" t="n"/>
      <c r="B154" s="104" t="n"/>
      <c r="C154" s="104" t="n"/>
      <c r="D154" s="104" t="n"/>
      <c r="E154" s="104" t="n"/>
      <c r="F154" s="104" t="n"/>
      <c r="G154" s="104" t="n"/>
      <c r="H154" s="104" t="n"/>
      <c r="I154" s="104" t="n"/>
      <c r="J154" s="104" t="n"/>
      <c r="K154" s="104" t="n"/>
      <c r="L154" s="104" t="n"/>
      <c r="M154" s="104" t="n"/>
      <c r="N154" s="104" t="n"/>
    </row>
    <row r="155">
      <c r="A155" s="67" t="inlineStr">
        <is>
          <t>[Person_7] PSNC Volumetric Release</t>
        </is>
      </c>
    </row>
    <row r="156">
      <c r="A156" s="67" t="inlineStr">
        <is>
          <t>Index</t>
        </is>
      </c>
      <c r="B156" s="67" t="inlineStr">
        <is>
          <t>St 85</t>
        </is>
      </c>
      <c r="C156" s="139" t="n">
        <v>4.37</v>
      </c>
      <c r="D156" s="67" t="inlineStr">
        <is>
          <t>Deal 158693.  PSNC sends ENA an invoice for this gas.  ENA will forward this to PSNC each month.</t>
        </is>
      </c>
    </row>
    <row r="157" ht="12.75" customHeight="1" s="50">
      <c r="A157" s="67" t="inlineStr">
        <is>
          <t>Comm</t>
        </is>
      </c>
      <c r="C157" s="139" t="n">
        <v>0.0203</v>
      </c>
    </row>
    <row r="158" ht="12.75" customHeight="1" s="50">
      <c r="A158" s="67" t="inlineStr">
        <is>
          <t>Surcharges</t>
        </is>
      </c>
      <c r="C158" s="139" t="n">
        <v>0.0225</v>
      </c>
    </row>
    <row r="159">
      <c r="A159" s="67" t="inlineStr">
        <is>
          <t>Fuel</t>
        </is>
      </c>
      <c r="B159" s="146" t="n"/>
      <c r="C159" s="113" t="n">
        <v>0.0343</v>
      </c>
    </row>
    <row r="160">
      <c r="A160" s="67" t="inlineStr">
        <is>
          <t>Transport</t>
        </is>
      </c>
      <c r="C160" s="140" t="n">
        <v>0.1428000000000003</v>
      </c>
    </row>
    <row r="161">
      <c r="A161" s="67" t="inlineStr">
        <is>
          <t>[Person_8]</t>
        </is>
      </c>
      <c r="C161" s="148" t="n">
        <v>0.27</v>
      </c>
    </row>
    <row r="162" ht="12.75" customHeight="1" s="50" thickBot="1">
      <c r="A162" s="67" t="inlineStr">
        <is>
          <t>Delivered Price</t>
        </is>
      </c>
      <c r="C162" s="141" t="n">
        <v>3.0428</v>
      </c>
      <c r="D162" s="67" t="inlineStr">
        <is>
          <t>Deal 157591.  Because this is a volumetric contract, the demand charge</t>
        </is>
      </c>
    </row>
    <row r="163" ht="12.75" customHeight="1" s="50" thickTop="1">
      <c r="D163" s="67" t="inlineStr">
        <is>
          <t>for the capacity is included in the sales price.  There should not be a demand</t>
        </is>
      </c>
    </row>
    <row r="164">
      <c r="D164" s="67" t="inlineStr">
        <is>
          <t>charge for this contract on the capacity worksheet.</t>
        </is>
      </c>
    </row>
    <row r="165"/>
    <row r="166"/>
    <row r="167"/>
    <row r="168">
      <c r="A168" s="67" t="inlineStr">
        <is>
          <t>FT Z3-Z5</t>
        </is>
      </c>
    </row>
    <row r="169">
      <c r="A169" s="67" t="inlineStr">
        <is>
          <t>Index</t>
        </is>
      </c>
      <c r="B169" s="67" t="inlineStr">
        <is>
          <t>St 65</t>
        </is>
      </c>
      <c r="C169" s="139" t="n">
        <v>4.36</v>
      </c>
    </row>
    <row r="170">
      <c r="C170" s="139" t="n">
        <v>0.0075</v>
      </c>
    </row>
    <row r="171" ht="12.75" customHeight="1" s="50">
      <c r="A171" s="67" t="inlineStr">
        <is>
          <t>Comm</t>
        </is>
      </c>
      <c r="C171" s="139" t="n">
        <v>0.0228</v>
      </c>
    </row>
    <row r="172" ht="12.75" customHeight="1" s="50">
      <c r="A172" s="67" t="inlineStr">
        <is>
          <t>Surcharges</t>
        </is>
      </c>
      <c r="C172" s="139" t="n">
        <v>0.0225</v>
      </c>
    </row>
    <row r="173">
      <c r="A173" s="67" t="inlineStr">
        <is>
          <t>Fuel</t>
        </is>
      </c>
      <c r="B173" s="146" t="n"/>
      <c r="C173" s="113" t="n">
        <v>0.0388</v>
      </c>
    </row>
    <row r="174">
      <c r="A174" s="67" t="inlineStr">
        <is>
          <t>Transport</t>
        </is>
      </c>
      <c r="C174" s="140">
        <f>ROUND((+C169+C170)/(1-C173)+(C171+C172),4)-C169-C170</f>
        <v/>
      </c>
    </row>
    <row r="175" ht="12.75" customHeight="1" s="50" thickBot="1">
      <c r="A175" s="67" t="inlineStr">
        <is>
          <t>Delivered Price</t>
        </is>
      </c>
      <c r="C175" s="141">
        <f>SUM(C174,C169:C170)</f>
        <v/>
      </c>
      <c r="D175" s="67" t="inlineStr">
        <is>
          <t>Deal 232614</t>
        </is>
      </c>
    </row>
    <row r="176" ht="12.75" customHeight="1" s="50" thickTop="1"/>
    <row r="177"/>
    <row r="178"/>
    <row r="179"/>
    <row r="180"/>
    <row r="181"/>
    <row r="182">
      <c r="A182" s="66" t="inlineStr">
        <is>
          <t>Texas Gas</t>
        </is>
      </c>
    </row>
    <row r="183">
      <c r="A183" s="67" t="inlineStr">
        <is>
          <t>Index</t>
        </is>
      </c>
      <c r="B183" s="67" t="inlineStr">
        <is>
          <t>SL</t>
        </is>
      </c>
      <c r="C183" s="139" t="n">
        <v>4.33</v>
      </c>
    </row>
    <row r="184">
      <c r="A184" s="67" t="inlineStr">
        <is>
          <t>Index [Person_1]</t>
        </is>
      </c>
      <c r="C184" s="139" t="n">
        <v>-0.01</v>
      </c>
    </row>
    <row r="185">
      <c r="A185" s="67" t="inlineStr">
        <is>
          <t>Comm</t>
        </is>
      </c>
      <c r="C185" s="139" t="n">
        <v>0.0323</v>
      </c>
    </row>
    <row r="186">
      <c r="A186" s="67" t="inlineStr">
        <is>
          <t>Surcharges</t>
        </is>
      </c>
      <c r="C186" s="139" t="n">
        <v>0.0094</v>
      </c>
    </row>
    <row r="187">
      <c r="A187" s="67" t="inlineStr">
        <is>
          <t>Fuel</t>
        </is>
      </c>
      <c r="C187" s="113" t="n">
        <v>0.0268</v>
      </c>
    </row>
    <row r="188">
      <c r="A188" s="67" t="inlineStr">
        <is>
          <t>Transport</t>
        </is>
      </c>
      <c r="C188" s="140">
        <f>ROUND((+C183+C184)/(1-C187)+(C185+C186),4)-C183-C184</f>
        <v/>
      </c>
    </row>
    <row r="189" ht="12.75" customHeight="1" s="50" thickBot="1">
      <c r="A189" s="67" t="inlineStr">
        <is>
          <t>Delivered Price</t>
        </is>
      </c>
      <c r="C189" s="141">
        <f>SUM(C188,C183:C184)</f>
        <v/>
      </c>
      <c r="D189" s="67" t="inlineStr">
        <is>
          <t> </t>
        </is>
      </c>
    </row>
    <row r="190" ht="12.75" customHeight="1" s="50" thickTop="1"/>
    <row r="191"/>
    <row r="192">
      <c r="A192" s="66" t="inlineStr">
        <is>
          <t>Sonat</t>
        </is>
      </c>
    </row>
    <row r="193">
      <c r="A193" s="67" t="inlineStr">
        <is>
          <t>Index</t>
        </is>
      </c>
      <c r="B193" s="67" t="inlineStr">
        <is>
          <t>La</t>
        </is>
      </c>
      <c r="C193" s="139" t="n">
        <v>4.35</v>
      </c>
    </row>
    <row r="194">
      <c r="A194" s="67" t="inlineStr">
        <is>
          <t>Index [Person_1]</t>
        </is>
      </c>
      <c r="C194" s="139" t="n">
        <v>0.0075</v>
      </c>
    </row>
    <row r="195">
      <c r="A195" s="67" t="inlineStr">
        <is>
          <t>Comm</t>
        </is>
      </c>
      <c r="C195" s="139" t="n">
        <v>0.021</v>
      </c>
    </row>
    <row r="196">
      <c r="A196" s="67" t="inlineStr">
        <is>
          <t>Surcharges</t>
        </is>
      </c>
      <c r="C196" s="139">
        <f>0.0022+0.0072</f>
        <v/>
      </c>
    </row>
    <row r="197">
      <c r="A197" s="67" t="inlineStr">
        <is>
          <t>Fuel</t>
        </is>
      </c>
      <c r="C197" s="113" t="n">
        <v>0.026</v>
      </c>
    </row>
    <row r="198">
      <c r="A198" s="67" t="inlineStr">
        <is>
          <t>Transport</t>
        </is>
      </c>
      <c r="C198" s="140">
        <f>ROUND((+C193+C194)/(1-C197)-(C193+C194)+C195+C196,4)</f>
        <v/>
      </c>
    </row>
    <row r="199" ht="12.75" customHeight="1" s="50" thickBot="1">
      <c r="A199" s="67" t="inlineStr">
        <is>
          <t>Delivered Price</t>
        </is>
      </c>
      <c r="C199" s="141">
        <f>SUM(C198,C193:C194)</f>
        <v/>
      </c>
      <c r="D199" s="67" t="inlineStr">
        <is>
          <t>Deal 231744</t>
        </is>
      </c>
    </row>
    <row r="200" ht="12.75" customHeight="1" s="50" thickTop="1"/>
  </sheetData>
  <pageMargins left="0.75" right="0.75" top="1" bottom="1" header="0.5" footer="0.5"/>
  <pageSetup orientation="portrait" verticalDpi="30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99"/>
  <sheetViews>
    <sheetView tabSelected="1" topLeftCell="A29" workbookViewId="0">
      <selection activeCell="A56" sqref="A56"/>
    </sheetView>
  </sheetViews>
  <sheetFormatPr baseColWidth="8" defaultRowHeight="12.75"/>
  <cols>
    <col width="9.140625" customWidth="1" style="50" min="1" max="1"/>
    <col width="10" customWidth="1" style="50" min="2" max="2"/>
    <col width="9.140625" customWidth="1" style="50" min="3" max="3"/>
    <col width="10.5703125" customWidth="1" style="50" min="4" max="4"/>
    <col width="9.28515625" customWidth="1" style="50" min="5" max="5"/>
    <col width="9.5703125" customWidth="1" style="50" min="6" max="6"/>
    <col width="12.42578125" customWidth="1" style="60" min="7" max="7"/>
    <col width="14" customWidth="1" style="60" min="8" max="8"/>
    <col width="10.7109375" customWidth="1" style="50" min="9" max="9"/>
    <col width="7.7109375" customWidth="1" style="50" min="10" max="10"/>
    <col hidden="1" width="13" customWidth="1" style="50" min="11" max="14"/>
    <col hidden="1" width="13" customWidth="1" style="149" min="15" max="15"/>
    <col hidden="1" width="13" customWidth="1" style="50" min="16" max="16"/>
    <col width="11.7109375" customWidth="1" style="50" min="17" max="17"/>
    <col width="9.42578125" customWidth="1" style="50" min="18" max="18"/>
    <col width="12.28515625" customWidth="1" style="50" min="19" max="19"/>
    <col width="10.7109375" customWidth="1" style="50" min="20" max="20"/>
    <col width="11.85546875" customWidth="1" style="50" min="21" max="21"/>
    <col width="14.85546875" customWidth="1" style="50" min="22" max="22"/>
    <col width="42.28515625" customWidth="1" style="60" min="23" max="23"/>
    <col width="9.140625" customWidth="1" style="50" min="24" max="25"/>
    <col width="12.42578125" customWidth="1" style="50" min="26" max="26"/>
    <col width="9.140625" customWidth="1" style="50" min="27" max="16384"/>
  </cols>
  <sheetData>
    <row r="1">
      <c r="B1" s="41" t="inlineStr">
        <is>
          <t>CES East Desk Transportation Capacity for September, 2000</t>
        </is>
      </c>
      <c r="C1" s="40" t="n"/>
      <c r="D1" s="40" t="n"/>
      <c r="E1" s="109" t="n"/>
      <c r="F1" s="109" t="n"/>
      <c r="G1" s="57" t="n"/>
      <c r="H1" s="57" t="n"/>
      <c r="I1" s="40" t="inlineStr">
        <is>
          <t>Days</t>
        </is>
      </c>
      <c r="J1" s="7" t="n">
        <v>30</v>
      </c>
      <c r="K1" s="150" t="inlineStr">
        <is>
          <t>CES Contact:  [Person_9] [PHONE_PREFIX]-2801</t>
        </is>
      </c>
      <c r="L1" s="151" t="n"/>
      <c r="M1" s="151" t="n"/>
      <c r="N1" s="151" t="n"/>
      <c r="O1" s="152" t="n"/>
      <c r="P1" s="151" t="n"/>
      <c r="Q1" s="48" t="n"/>
      <c r="R1" s="49" t="n"/>
      <c r="S1" s="28" t="n"/>
      <c r="T1" s="28" t="n"/>
      <c r="U1" s="28" t="n"/>
      <c r="V1" s="55" t="n"/>
      <c r="W1" s="57" t="n"/>
      <c r="X1" s="137" t="n"/>
      <c r="Y1" s="137" t="n"/>
    </row>
    <row r="2">
      <c r="B2" s="57" t="inlineStr">
        <is>
          <t>Items have been checked</t>
        </is>
      </c>
      <c r="C2" s="57" t="n"/>
      <c r="D2" s="57" t="n"/>
      <c r="E2" s="109" t="n"/>
      <c r="F2" s="109" t="n"/>
      <c r="G2" s="57" t="n"/>
      <c r="H2" s="57" t="n"/>
      <c r="I2" s="40" t="n"/>
      <c r="J2" s="7" t="n"/>
      <c r="K2" s="150" t="inlineStr">
        <is>
          <t>[Person_10]:  [Person_11] 3-6751</t>
        </is>
      </c>
      <c r="L2" s="151" t="n"/>
      <c r="M2" s="151" t="n"/>
      <c r="N2" s="151" t="n"/>
      <c r="O2" s="152" t="n"/>
      <c r="P2" s="151" t="n"/>
      <c r="Q2" s="48" t="n"/>
      <c r="R2" s="49" t="n"/>
      <c r="S2" s="28" t="n"/>
      <c r="T2" s="28" t="n"/>
      <c r="U2" s="28" t="n"/>
      <c r="V2" s="55" t="n"/>
      <c r="W2" s="57" t="n"/>
      <c r="X2" s="137" t="n"/>
      <c r="Y2" s="137" t="n"/>
    </row>
    <row r="3">
      <c r="B3" s="57" t="inlineStr">
        <is>
          <t>Need to verify</t>
        </is>
      </c>
      <c r="C3" s="57" t="n"/>
      <c r="D3" s="57" t="n"/>
      <c r="E3" s="109" t="n"/>
      <c r="F3" s="109" t="n"/>
      <c r="G3" s="6" t="inlineStr">
        <is>
          <t> </t>
        </is>
      </c>
      <c r="H3" s="57" t="inlineStr">
        <is>
          <t> </t>
        </is>
      </c>
      <c r="I3" s="49" t="inlineStr">
        <is>
          <t> </t>
        </is>
      </c>
      <c r="J3" s="153" t="n"/>
      <c r="K3" s="154" t="inlineStr">
        <is>
          <t> </t>
        </is>
      </c>
      <c r="L3" s="151" t="n"/>
      <c r="M3" s="154" t="inlineStr">
        <is>
          <t> </t>
        </is>
      </c>
      <c r="N3" s="151" t="n"/>
      <c r="O3" s="152" t="n"/>
      <c r="P3" s="154" t="inlineStr">
        <is>
          <t> </t>
        </is>
      </c>
      <c r="Q3" s="48" t="n"/>
      <c r="R3" s="49" t="n"/>
      <c r="S3" s="28" t="n"/>
      <c r="T3" s="28" t="n"/>
      <c r="U3" s="28" t="n"/>
      <c r="V3" s="55" t="n"/>
      <c r="W3" s="57" t="n"/>
      <c r="X3" s="137" t="n"/>
      <c r="Y3" s="137" t="n"/>
    </row>
    <row r="4">
      <c r="B4" s="57" t="n"/>
      <c r="C4" s="40" t="n"/>
      <c r="D4" s="40" t="n"/>
      <c r="E4" s="109" t="n"/>
      <c r="F4" s="109" t="n"/>
      <c r="G4" s="32" t="n"/>
      <c r="H4" s="57" t="n"/>
      <c r="I4" s="32" t="n"/>
      <c r="J4" s="153" t="n"/>
      <c r="K4" s="32" t="n"/>
      <c r="L4" s="151" t="n"/>
      <c r="M4" s="32" t="n"/>
      <c r="N4" s="49" t="n"/>
      <c r="O4" s="152" t="n"/>
      <c r="P4" s="49" t="n"/>
      <c r="Q4" s="48" t="n"/>
      <c r="R4" s="49" t="n"/>
      <c r="S4" s="28" t="n"/>
      <c r="T4" s="33" t="n"/>
      <c r="U4" s="33" t="n"/>
      <c r="V4" s="52" t="n"/>
      <c r="W4" s="57" t="n"/>
      <c r="X4" s="137" t="n"/>
      <c r="Y4" s="137" t="n"/>
    </row>
    <row r="5">
      <c r="B5" s="57" t="inlineStr">
        <is>
          <t>Comments:</t>
        </is>
      </c>
      <c r="C5" s="40" t="n"/>
      <c r="D5" s="57" t="n"/>
      <c r="E5" s="109" t="n"/>
      <c r="F5" s="109" t="n"/>
      <c r="G5" s="32" t="n"/>
      <c r="H5" s="57" t="n"/>
      <c r="I5" s="32" t="n"/>
      <c r="J5" s="153" t="n"/>
      <c r="K5" s="32" t="n"/>
      <c r="L5" s="151" t="n"/>
      <c r="M5" s="32" t="n"/>
      <c r="N5" s="49" t="n"/>
      <c r="O5" s="152" t="n"/>
      <c r="P5" s="49" t="n"/>
      <c r="Q5" s="48" t="n"/>
      <c r="R5" s="49" t="n"/>
      <c r="S5" s="28" t="n"/>
      <c r="T5" s="33" t="n"/>
      <c r="U5" s="33" t="n"/>
      <c r="V5" s="52" t="n"/>
      <c r="W5" s="57" t="n"/>
      <c r="X5" s="137" t="n"/>
      <c r="Y5" s="137" t="n"/>
    </row>
    <row r="6">
      <c r="B6" s="57" t="n"/>
      <c r="C6" s="40" t="inlineStr">
        <is>
          <t>Pending Release</t>
        </is>
      </c>
      <c r="D6" s="40" t="n"/>
      <c r="E6" s="109" t="n"/>
      <c r="F6" s="109" t="n"/>
      <c r="G6" s="32" t="n"/>
      <c r="H6" s="57" t="n"/>
      <c r="I6" s="32" t="n"/>
      <c r="J6" s="153" t="n"/>
      <c r="K6" s="32" t="n"/>
      <c r="L6" s="151" t="n"/>
      <c r="M6" s="32" t="n"/>
      <c r="N6" s="49" t="n"/>
      <c r="O6" s="152" t="n"/>
      <c r="P6" s="49" t="n"/>
      <c r="Q6" s="48" t="n"/>
      <c r="R6" s="49" t="n"/>
      <c r="S6" s="28" t="n"/>
      <c r="T6" s="33" t="n"/>
      <c r="U6" s="33" t="n"/>
      <c r="V6" s="52" t="n"/>
      <c r="W6" s="57" t="n"/>
      <c r="X6" s="137" t="n"/>
      <c r="Y6" s="137" t="n"/>
    </row>
    <row r="7">
      <c r="B7" s="57" t="n"/>
      <c r="C7" s="40" t="n"/>
      <c r="D7" s="40" t="n"/>
      <c r="E7" s="109" t="n"/>
      <c r="F7" s="109" t="n"/>
      <c r="G7" s="32" t="n"/>
      <c r="H7" s="57" t="n"/>
      <c r="I7" s="32" t="n"/>
      <c r="J7" s="153" t="n"/>
      <c r="K7" s="32" t="n"/>
      <c r="L7" s="151" t="n"/>
      <c r="M7" s="32" t="n"/>
      <c r="N7" s="49" t="n"/>
      <c r="O7" s="152" t="n"/>
      <c r="P7" s="49" t="n"/>
      <c r="Q7" s="48" t="n"/>
      <c r="R7" s="49" t="n"/>
      <c r="S7" s="28" t="n"/>
      <c r="T7" s="33" t="n"/>
      <c r="U7" s="33" t="n"/>
      <c r="V7" s="52" t="n"/>
      <c r="W7" s="57" t="n"/>
      <c r="X7" s="137" t="n"/>
      <c r="Y7" s="137" t="n"/>
    </row>
    <row r="8">
      <c r="B8" s="57" t="n"/>
      <c r="C8" s="40" t="n"/>
      <c r="D8" s="40" t="n"/>
      <c r="E8" s="109" t="n"/>
      <c r="F8" s="109" t="n"/>
      <c r="G8" s="32" t="n"/>
      <c r="H8" s="57" t="n"/>
      <c r="I8" s="32" t="n"/>
      <c r="J8" s="153" t="n"/>
      <c r="K8" s="32" t="n"/>
      <c r="L8" s="151" t="n"/>
      <c r="M8" s="32" t="n"/>
      <c r="N8" s="49" t="n"/>
      <c r="O8" s="152" t="n"/>
      <c r="P8" s="49" t="n"/>
      <c r="Q8" s="48" t="n"/>
      <c r="R8" s="49" t="n"/>
      <c r="S8" s="28" t="n"/>
      <c r="T8" s="33" t="n"/>
      <c r="U8" s="33" t="n"/>
      <c r="V8" s="52" t="n"/>
      <c r="W8" s="57" t="n"/>
      <c r="X8" s="137" t="n"/>
      <c r="Y8" s="137" t="n"/>
    </row>
    <row r="9">
      <c r="B9" s="57" t="n"/>
      <c r="C9" s="40" t="n"/>
      <c r="D9" s="40" t="n"/>
      <c r="E9" s="109" t="n"/>
      <c r="F9" s="109" t="n"/>
      <c r="G9" s="32" t="n"/>
      <c r="H9" s="57" t="n"/>
      <c r="I9" s="32" t="n"/>
      <c r="J9" s="153" t="n"/>
      <c r="K9" s="32" t="n"/>
      <c r="L9" s="151" t="n"/>
      <c r="M9" s="32" t="n"/>
      <c r="N9" s="49" t="n"/>
      <c r="O9" s="152" t="n"/>
      <c r="P9" s="49" t="n"/>
      <c r="Q9" s="48" t="n"/>
      <c r="R9" s="49" t="n"/>
      <c r="S9" s="28" t="n"/>
      <c r="T9" s="33" t="n"/>
      <c r="U9" s="33" t="n"/>
      <c r="V9" s="52" t="n"/>
      <c r="W9" s="57" t="n"/>
      <c r="X9" s="137" t="n"/>
      <c r="Y9" s="137" t="n"/>
    </row>
    <row r="10">
      <c r="B10" s="57" t="n"/>
      <c r="C10" s="40" t="n"/>
      <c r="D10" s="40" t="n"/>
      <c r="E10" s="109" t="n"/>
      <c r="F10" s="109" t="n"/>
      <c r="G10" s="32" t="n"/>
      <c r="H10" s="57" t="n"/>
      <c r="I10" s="32" t="n"/>
      <c r="J10" s="153" t="n"/>
      <c r="K10" s="32" t="n"/>
      <c r="L10" s="151" t="n"/>
      <c r="M10" s="32" t="n"/>
      <c r="N10" s="49" t="n"/>
      <c r="O10" s="152" t="n"/>
      <c r="P10" s="49" t="n"/>
      <c r="Q10" s="48" t="n"/>
      <c r="R10" s="49" t="n"/>
      <c r="S10" s="28" t="n"/>
      <c r="T10" s="33" t="n"/>
      <c r="U10" s="33" t="n"/>
      <c r="V10" s="52" t="n"/>
      <c r="W10" s="57" t="n"/>
      <c r="X10" s="137" t="n"/>
      <c r="Y10" s="137" t="n"/>
    </row>
    <row r="11">
      <c r="B11" s="16" t="inlineStr">
        <is>
          <t>buy/sell</t>
        </is>
      </c>
      <c r="C11" s="17" t="inlineStr">
        <is>
          <t>pipe</t>
        </is>
      </c>
      <c r="D11" s="17" t="inlineStr">
        <is>
          <t>customer</t>
        </is>
      </c>
      <c r="E11" s="18" t="inlineStr">
        <is>
          <t>dates</t>
        </is>
      </c>
      <c r="F11" s="18" t="n"/>
      <c r="G11" s="16" t="inlineStr">
        <is>
          <t>rec</t>
        </is>
      </c>
      <c r="H11" s="16" t="inlineStr">
        <is>
          <t>del</t>
        </is>
      </c>
      <c r="I11" s="17" t="inlineStr">
        <is>
          <t>Type</t>
        </is>
      </c>
      <c r="J11" s="155" t="inlineStr">
        <is>
          <t>dem</t>
        </is>
      </c>
      <c r="K11" s="17" t="inlineStr">
        <is>
          <t>com</t>
        </is>
      </c>
      <c r="L11" s="17" t="inlineStr">
        <is>
          <t>aca</t>
        </is>
      </c>
      <c r="M11" s="17" t="inlineStr">
        <is>
          <t>gri</t>
        </is>
      </c>
      <c r="N11" s="17" t="inlineStr">
        <is>
          <t>s/c</t>
        </is>
      </c>
      <c r="O11" s="156" t="inlineStr">
        <is>
          <t>fuel %</t>
        </is>
      </c>
      <c r="P11" s="17" t="inlineStr">
        <is>
          <t>total</t>
        </is>
      </c>
      <c r="Q11" s="20" t="inlineStr">
        <is>
          <t>New K#</t>
        </is>
      </c>
      <c r="R11" s="17" t="inlineStr">
        <is>
          <t>vol</t>
        </is>
      </c>
      <c r="S11" s="16" t="inlineStr">
        <is>
          <t>comment</t>
        </is>
      </c>
      <c r="T11" s="21" t="inlineStr">
        <is>
          <t>Est Demand</t>
        </is>
      </c>
      <c r="U11" s="21" t="inlineStr">
        <is>
          <t>Act Demand</t>
        </is>
      </c>
      <c r="V11" s="53" t="inlineStr">
        <is>
          <t>New Sitara</t>
        </is>
      </c>
      <c r="W11" s="58">
        <f>+#REF!</f>
        <v/>
      </c>
      <c r="X11" s="137" t="n"/>
      <c r="Y11" s="137" t="n"/>
    </row>
    <row r="12" customFormat="1" s="112">
      <c r="B12" s="57" t="inlineStr">
        <is>
          <t>ENA</t>
        </is>
      </c>
      <c r="C12" s="40" t="inlineStr">
        <is>
          <t>Col Gulf</t>
        </is>
      </c>
      <c r="D12" s="40" t="inlineStr">
        <is>
          <t>CVA</t>
        </is>
      </c>
      <c r="E12" s="109" t="n">
        <v>36678</v>
      </c>
      <c r="F12" s="109" t="n">
        <v>37042</v>
      </c>
      <c r="G12" s="57" t="inlineStr">
        <is>
          <t>Rayne</t>
        </is>
      </c>
      <c r="H12" s="57" t="inlineStr">
        <is>
          <t>Leach</t>
        </is>
      </c>
      <c r="I12" s="40" t="inlineStr">
        <is>
          <t>FTS-1</t>
        </is>
      </c>
      <c r="J12" s="153">
        <f>3.145/J$1</f>
        <v/>
      </c>
      <c r="K12" s="151" t="n">
        <v>0.0132</v>
      </c>
      <c r="L12" s="151" t="n">
        <v>0.0022</v>
      </c>
      <c r="M12" s="151" t="n">
        <v>0</v>
      </c>
      <c r="N12" s="151" t="n">
        <v>0</v>
      </c>
      <c r="O12" s="152" t="n">
        <v>0.02116</v>
      </c>
      <c r="P12" s="151">
        <f>SUM(J12:N12)</f>
        <v/>
      </c>
      <c r="Q12" s="48" t="n">
        <v>68360</v>
      </c>
      <c r="R12" s="40" t="n">
        <v>291</v>
      </c>
      <c r="S12" s="57" t="n"/>
      <c r="T12" s="28">
        <f>J12*J$1*R12</f>
        <v/>
      </c>
      <c r="U12" s="28" t="n"/>
      <c r="V12" s="55" t="n">
        <v>271311</v>
      </c>
      <c r="W12" s="57" t="n"/>
      <c r="X12" s="137" t="n"/>
      <c r="Y12" s="137" t="n"/>
    </row>
    <row r="13" customFormat="1" s="112">
      <c r="B13" s="57" t="inlineStr">
        <is>
          <t>ENA</t>
        </is>
      </c>
      <c r="C13" s="40" t="inlineStr">
        <is>
          <t>Col Gulf</t>
        </is>
      </c>
      <c r="D13" s="40" t="inlineStr">
        <is>
          <t>CMD</t>
        </is>
      </c>
      <c r="E13" s="109" t="n">
        <v>36678</v>
      </c>
      <c r="F13" s="109" t="n">
        <v>37042</v>
      </c>
      <c r="G13" s="57" t="inlineStr">
        <is>
          <t>Rayne</t>
        </is>
      </c>
      <c r="H13" s="57" t="inlineStr">
        <is>
          <t>Leach</t>
        </is>
      </c>
      <c r="I13" s="40" t="inlineStr">
        <is>
          <t>FTS-1</t>
        </is>
      </c>
      <c r="J13" s="153">
        <f>3.145/J$1</f>
        <v/>
      </c>
      <c r="K13" s="151" t="n">
        <v>0.0132</v>
      </c>
      <c r="L13" s="151" t="n">
        <v>0.0022</v>
      </c>
      <c r="M13" s="151" t="n">
        <v>0</v>
      </c>
      <c r="N13" s="151" t="n">
        <v>0</v>
      </c>
      <c r="O13" s="152" t="n">
        <v>0.02116</v>
      </c>
      <c r="P13" s="151">
        <f>SUM(J13:N13)</f>
        <v/>
      </c>
      <c r="Q13" s="48" t="n">
        <v>68385</v>
      </c>
      <c r="R13" s="40" t="n">
        <v>223</v>
      </c>
      <c r="S13" s="57" t="n"/>
      <c r="T13" s="28">
        <f>J13*J$1*R13</f>
        <v/>
      </c>
      <c r="U13" s="28" t="n"/>
      <c r="V13" s="55" t="n">
        <v>280550</v>
      </c>
      <c r="W13" s="57" t="n"/>
      <c r="X13" s="137" t="n"/>
      <c r="Y13" s="137" t="n"/>
    </row>
    <row r="14" customFormat="1" s="112">
      <c r="B14" s="57" t="inlineStr">
        <is>
          <t>ENA</t>
        </is>
      </c>
      <c r="C14" s="40" t="inlineStr">
        <is>
          <t>Col Gulf</t>
        </is>
      </c>
      <c r="D14" s="40" t="inlineStr">
        <is>
          <t>CVA</t>
        </is>
      </c>
      <c r="E14" s="109" t="n">
        <v>36708</v>
      </c>
      <c r="F14" s="109" t="n">
        <v>37072</v>
      </c>
      <c r="G14" s="57" t="inlineStr">
        <is>
          <t>Rayne</t>
        </is>
      </c>
      <c r="H14" s="57" t="inlineStr">
        <is>
          <t>Leach</t>
        </is>
      </c>
      <c r="I14" s="40" t="inlineStr">
        <is>
          <t>FTS-1</t>
        </is>
      </c>
      <c r="J14" s="153">
        <f>3.145/J$1</f>
        <v/>
      </c>
      <c r="K14" s="151" t="n">
        <v>0.0132</v>
      </c>
      <c r="L14" s="151" t="n">
        <v>0.0022</v>
      </c>
      <c r="M14" s="151" t="n">
        <v>0</v>
      </c>
      <c r="N14" s="151" t="n">
        <v>0</v>
      </c>
      <c r="O14" s="152" t="n">
        <v>0.02116</v>
      </c>
      <c r="P14" s="151">
        <f>SUM(J14:N14)</f>
        <v/>
      </c>
      <c r="Q14" s="48" t="n">
        <v>68615</v>
      </c>
      <c r="R14" s="40" t="n">
        <v>920</v>
      </c>
      <c r="S14" s="57" t="n"/>
      <c r="T14" s="28">
        <f>J14*J$1*R14</f>
        <v/>
      </c>
      <c r="U14" s="28" t="n"/>
      <c r="V14" s="55" t="n">
        <v>309873</v>
      </c>
      <c r="W14" s="57" t="n"/>
      <c r="X14" s="137" t="n"/>
      <c r="Y14" s="137" t="n"/>
    </row>
    <row r="15" customFormat="1" s="112">
      <c r="B15" s="57" t="inlineStr">
        <is>
          <t>ENA</t>
        </is>
      </c>
      <c r="C15" s="40" t="inlineStr">
        <is>
          <t>Col Gulf</t>
        </is>
      </c>
      <c r="D15" s="40" t="inlineStr">
        <is>
          <t>CMD</t>
        </is>
      </c>
      <c r="E15" s="109" t="n">
        <v>36404</v>
      </c>
      <c r="F15" s="109" t="n">
        <v>36769</v>
      </c>
      <c r="G15" s="57" t="inlineStr">
        <is>
          <t>Rayne</t>
        </is>
      </c>
      <c r="H15" s="57" t="inlineStr">
        <is>
          <t>Leach</t>
        </is>
      </c>
      <c r="I15" s="40" t="inlineStr">
        <is>
          <t>FTS-1</t>
        </is>
      </c>
      <c r="J15" s="153">
        <f>3.145/J$1</f>
        <v/>
      </c>
      <c r="K15" s="151" t="n">
        <v>0.0132</v>
      </c>
      <c r="L15" s="151" t="n">
        <v>0.0022</v>
      </c>
      <c r="M15" s="151" t="n">
        <v>0</v>
      </c>
      <c r="N15" s="151" t="n">
        <v>0</v>
      </c>
      <c r="O15" s="152" t="n">
        <v>0.02116</v>
      </c>
      <c r="P15" s="151">
        <f>SUM(J15:N15)</f>
        <v/>
      </c>
      <c r="Q15" s="48" t="n">
        <v>64652</v>
      </c>
      <c r="R15" s="40" t="n">
        <v>65</v>
      </c>
      <c r="S15" s="57" t="n"/>
      <c r="T15" s="28">
        <f>J15*J$1*R15</f>
        <v/>
      </c>
      <c r="U15" s="28" t="n"/>
      <c r="V15" s="55" t="n">
        <v>156623</v>
      </c>
      <c r="W15" s="57" t="n"/>
      <c r="X15" s="137" t="n"/>
      <c r="Y15" s="137" t="n"/>
    </row>
    <row r="16" customFormat="1" s="112">
      <c r="B16" s="57" t="inlineStr">
        <is>
          <t>ENA</t>
        </is>
      </c>
      <c r="C16" s="40" t="inlineStr">
        <is>
          <t>Col Gulf</t>
        </is>
      </c>
      <c r="D16" s="40" t="inlineStr">
        <is>
          <t>CMD</t>
        </is>
      </c>
      <c r="E16" s="109" t="n">
        <v>36434</v>
      </c>
      <c r="F16" s="109" t="n">
        <v>36799</v>
      </c>
      <c r="G16" s="57" t="inlineStr">
        <is>
          <t>Rayne</t>
        </is>
      </c>
      <c r="H16" s="57" t="inlineStr">
        <is>
          <t>Leach</t>
        </is>
      </c>
      <c r="I16" s="40" t="inlineStr">
        <is>
          <t>FTS-1</t>
        </is>
      </c>
      <c r="J16" s="153">
        <f>3.145/J$1</f>
        <v/>
      </c>
      <c r="K16" s="151" t="n">
        <v>0.0132</v>
      </c>
      <c r="L16" s="151" t="n">
        <v>0.0022</v>
      </c>
      <c r="M16" s="151" t="n">
        <v>0</v>
      </c>
      <c r="N16" s="151" t="n">
        <v>0</v>
      </c>
      <c r="O16" s="152" t="n">
        <v>0.02116</v>
      </c>
      <c r="P16" s="151">
        <f>SUM(J16:N16)</f>
        <v/>
      </c>
      <c r="Q16" s="48" t="n">
        <v>64863</v>
      </c>
      <c r="R16" s="40" t="n">
        <v>13</v>
      </c>
      <c r="S16" s="57" t="n"/>
      <c r="T16" s="28">
        <f>J16*J$1*R16</f>
        <v/>
      </c>
      <c r="U16" s="28" t="n"/>
      <c r="V16" s="55" t="n">
        <v>156625</v>
      </c>
      <c r="W16" s="57" t="n"/>
      <c r="X16" s="137" t="n"/>
      <c r="Y16" s="137" t="n"/>
    </row>
    <row r="17" customFormat="1" s="112">
      <c r="B17" s="57" t="inlineStr">
        <is>
          <t>ENA</t>
        </is>
      </c>
      <c r="C17" s="40" t="inlineStr">
        <is>
          <t>Col Gulf</t>
        </is>
      </c>
      <c r="D17" s="40" t="inlineStr">
        <is>
          <t>CMD</t>
        </is>
      </c>
      <c r="E17" s="109" t="n">
        <v>36465</v>
      </c>
      <c r="F17" s="109" t="n">
        <v>36830</v>
      </c>
      <c r="G17" s="57" t="inlineStr">
        <is>
          <t>Rayne</t>
        </is>
      </c>
      <c r="H17" s="57" t="inlineStr">
        <is>
          <t>Leach</t>
        </is>
      </c>
      <c r="I17" s="40" t="inlineStr">
        <is>
          <t>FTS-1</t>
        </is>
      </c>
      <c r="J17" s="153">
        <f>3.145/J$1</f>
        <v/>
      </c>
      <c r="K17" s="151" t="n">
        <v>0.0132</v>
      </c>
      <c r="L17" s="151" t="n">
        <v>0.0022</v>
      </c>
      <c r="M17" s="151" t="n">
        <v>0</v>
      </c>
      <c r="N17" s="151" t="n">
        <v>0</v>
      </c>
      <c r="O17" s="152" t="n">
        <v>0.02116</v>
      </c>
      <c r="P17" s="151">
        <f>SUM(J17:N17)</f>
        <v/>
      </c>
      <c r="Q17" s="48" t="n">
        <v>65027</v>
      </c>
      <c r="R17" s="40" t="n">
        <v>131</v>
      </c>
      <c r="S17" s="57" t="inlineStr">
        <is>
          <t>Bought to serve retail requirements, feeds K#65026</t>
        </is>
      </c>
      <c r="T17" s="28">
        <f>J17*J$1*R17</f>
        <v/>
      </c>
      <c r="U17" s="28" t="n"/>
      <c r="V17" s="55" t="n">
        <v>156666</v>
      </c>
      <c r="W17" s="57" t="inlineStr">
        <is>
          <t>Commodity and fuel  on sheet looks like CGAS .  CGLF rate and fuel is $.017 and 2.988%</t>
        </is>
      </c>
      <c r="X17" s="137" t="n"/>
      <c r="Y17" s="137" t="n"/>
    </row>
    <row r="18" customFormat="1" s="112">
      <c r="B18" s="57" t="inlineStr">
        <is>
          <t>ENA</t>
        </is>
      </c>
      <c r="C18" s="40" t="inlineStr">
        <is>
          <t>Col Gulf</t>
        </is>
      </c>
      <c r="D18" s="40" t="inlineStr">
        <is>
          <t>CMD</t>
        </is>
      </c>
      <c r="E18" s="109" t="n">
        <v>36495</v>
      </c>
      <c r="F18" s="109" t="n">
        <v>36860</v>
      </c>
      <c r="G18" s="57" t="inlineStr">
        <is>
          <t>Rayne</t>
        </is>
      </c>
      <c r="H18" s="57" t="inlineStr">
        <is>
          <t>Leach</t>
        </is>
      </c>
      <c r="I18" s="40" t="inlineStr">
        <is>
          <t>FTS-1</t>
        </is>
      </c>
      <c r="J18" s="153">
        <f>3.145/J$1</f>
        <v/>
      </c>
      <c r="K18" s="151" t="n">
        <v>0.0132</v>
      </c>
      <c r="L18" s="151" t="n">
        <v>0.0022</v>
      </c>
      <c r="M18" s="151" t="n">
        <v>0</v>
      </c>
      <c r="N18" s="151" t="n">
        <v>0</v>
      </c>
      <c r="O18" s="152" t="n">
        <v>0.02116</v>
      </c>
      <c r="P18" s="151">
        <f>SUM(J18:N18)</f>
        <v/>
      </c>
      <c r="Q18" s="48" t="n">
        <v>65557</v>
      </c>
      <c r="R18" s="40" t="n">
        <v>3</v>
      </c>
      <c r="S18" s="57" t="n"/>
      <c r="T18" s="28">
        <f>J18*J$1*R18</f>
        <v/>
      </c>
      <c r="U18" s="28" t="n"/>
      <c r="V18" s="55" t="n">
        <v>156669</v>
      </c>
      <c r="W18" s="57" t="n"/>
      <c r="X18" s="137" t="n"/>
      <c r="Y18" s="137" t="n"/>
    </row>
    <row r="19" customFormat="1" s="112">
      <c r="B19" s="57" t="inlineStr">
        <is>
          <t>ENA</t>
        </is>
      </c>
      <c r="C19" s="40" t="inlineStr">
        <is>
          <t>Col Gulf</t>
        </is>
      </c>
      <c r="D19" s="40" t="inlineStr">
        <is>
          <t>CVA</t>
        </is>
      </c>
      <c r="E19" s="109" t="n">
        <v>36708</v>
      </c>
      <c r="F19" s="109" t="inlineStr">
        <is>
          <t>6/31/01</t>
        </is>
      </c>
      <c r="G19" s="57" t="inlineStr">
        <is>
          <t>Rayne</t>
        </is>
      </c>
      <c r="H19" s="57" t="inlineStr">
        <is>
          <t>Leach</t>
        </is>
      </c>
      <c r="I19" s="40" t="inlineStr">
        <is>
          <t>FTS-1</t>
        </is>
      </c>
      <c r="J19" s="153">
        <f>3.145/J1</f>
        <v/>
      </c>
      <c r="K19" s="151" t="n"/>
      <c r="L19" s="151" t="n"/>
      <c r="M19" s="151" t="n"/>
      <c r="N19" s="151" t="n"/>
      <c r="O19" s="152" t="n"/>
      <c r="P19" s="151" t="n"/>
      <c r="Q19" s="48" t="n">
        <v>68634</v>
      </c>
      <c r="R19" s="40" t="n">
        <v>1</v>
      </c>
      <c r="S19" s="57" t="n"/>
      <c r="T19" s="28">
        <f>J19*J$1*R19</f>
        <v/>
      </c>
      <c r="U19" s="28" t="n"/>
      <c r="V19" s="55" t="n">
        <v>312338</v>
      </c>
      <c r="W19" s="57" t="n"/>
      <c r="X19" s="137" t="n"/>
      <c r="Y19" s="137" t="n"/>
    </row>
    <row r="20" customFormat="1" s="112">
      <c r="B20" s="57" t="inlineStr">
        <is>
          <t>ENA</t>
        </is>
      </c>
      <c r="C20" s="40" t="inlineStr">
        <is>
          <t>Col Gulf</t>
        </is>
      </c>
      <c r="D20" s="40" t="inlineStr">
        <is>
          <t>CMD</t>
        </is>
      </c>
      <c r="E20" s="109" t="n">
        <v>36617</v>
      </c>
      <c r="F20" s="109" t="n">
        <v>36981</v>
      </c>
      <c r="G20" s="57" t="inlineStr">
        <is>
          <t>Rayne</t>
        </is>
      </c>
      <c r="H20" s="57" t="inlineStr">
        <is>
          <t>Leach</t>
        </is>
      </c>
      <c r="I20" s="40" t="inlineStr">
        <is>
          <t>FTS-1</t>
        </is>
      </c>
      <c r="J20" s="153">
        <f>3.145/J1</f>
        <v/>
      </c>
      <c r="K20" s="151" t="n"/>
      <c r="L20" s="151" t="n"/>
      <c r="M20" s="151" t="n"/>
      <c r="N20" s="151" t="n"/>
      <c r="O20" s="152" t="n"/>
      <c r="P20" s="151" t="n"/>
      <c r="Q20" s="48" t="n">
        <v>66941</v>
      </c>
      <c r="R20" s="40" t="n">
        <v>53</v>
      </c>
      <c r="S20" s="57" t="n"/>
      <c r="T20" s="28">
        <f>J20*J$1*R20</f>
        <v/>
      </c>
      <c r="U20" s="28" t="n"/>
      <c r="V20" s="55" t="n">
        <v>228122</v>
      </c>
      <c r="W20" s="57" t="n"/>
      <c r="X20" s="137" t="n"/>
      <c r="Y20" s="137" t="n"/>
    </row>
    <row r="21" customFormat="1" s="112">
      <c r="B21" s="57" t="inlineStr">
        <is>
          <t>ENA</t>
        </is>
      </c>
      <c r="C21" s="40" t="inlineStr">
        <is>
          <t>Col Gulf</t>
        </is>
      </c>
      <c r="D21" s="40" t="inlineStr">
        <is>
          <t>CMD</t>
        </is>
      </c>
      <c r="E21" s="109" t="n">
        <v>36557</v>
      </c>
      <c r="F21" s="109" t="n">
        <v>36922</v>
      </c>
      <c r="G21" s="57" t="inlineStr">
        <is>
          <t>Rayne</t>
        </is>
      </c>
      <c r="H21" s="57" t="inlineStr">
        <is>
          <t>Leach</t>
        </is>
      </c>
      <c r="I21" s="40" t="inlineStr">
        <is>
          <t>FTS-1</t>
        </is>
      </c>
      <c r="J21" s="153">
        <f>3.145/31</f>
        <v/>
      </c>
      <c r="K21" s="151" t="n"/>
      <c r="L21" s="151" t="n"/>
      <c r="M21" s="151" t="n"/>
      <c r="N21" s="151" t="n"/>
      <c r="O21" s="152" t="n"/>
      <c r="P21" s="151" t="n"/>
      <c r="Q21" s="48" t="n">
        <v>66283</v>
      </c>
      <c r="R21" s="40" t="n">
        <v>5</v>
      </c>
      <c r="S21" s="57" t="n"/>
      <c r="T21" s="107">
        <f>+J21*R21*31</f>
        <v/>
      </c>
      <c r="U21" s="28" t="n"/>
      <c r="V21" s="55" t="n">
        <v>156674</v>
      </c>
      <c r="W21" s="57" t="n"/>
      <c r="X21" s="137" t="n"/>
      <c r="Y21" s="137" t="n"/>
    </row>
    <row r="22" customFormat="1" s="112">
      <c r="B22" s="57" t="inlineStr">
        <is>
          <t>ENA</t>
        </is>
      </c>
      <c r="C22" s="40" t="inlineStr">
        <is>
          <t>Col Gulf</t>
        </is>
      </c>
      <c r="D22" s="40" t="inlineStr">
        <is>
          <t>CMD</t>
        </is>
      </c>
      <c r="E22" s="109" t="n">
        <v>36617</v>
      </c>
      <c r="F22" s="109" t="n">
        <v>36981</v>
      </c>
      <c r="G22" s="57" t="inlineStr">
        <is>
          <t>Rayne</t>
        </is>
      </c>
      <c r="H22" s="57" t="inlineStr">
        <is>
          <t>Leach</t>
        </is>
      </c>
      <c r="I22" s="40" t="inlineStr">
        <is>
          <t>FTS-1</t>
        </is>
      </c>
      <c r="J22" s="153">
        <f>3.15/J1</f>
        <v/>
      </c>
      <c r="K22" s="151" t="n"/>
      <c r="L22" s="151" t="n"/>
      <c r="M22" s="151" t="n"/>
      <c r="N22" s="151" t="n"/>
      <c r="O22" s="152" t="n"/>
      <c r="P22" s="151" t="n"/>
      <c r="Q22" s="48" t="n">
        <v>66941</v>
      </c>
      <c r="R22" s="40" t="n">
        <v>53</v>
      </c>
      <c r="S22" s="57" t="n"/>
      <c r="T22" s="107">
        <f>+J22*R22*31</f>
        <v/>
      </c>
      <c r="U22" s="28" t="n"/>
      <c r="V22" s="55" t="n">
        <v>228122</v>
      </c>
      <c r="W22" s="57" t="n"/>
      <c r="X22" s="137" t="n"/>
      <c r="Y22" s="137" t="n"/>
    </row>
    <row r="23" customFormat="1" s="112">
      <c r="B23" s="57" t="inlineStr">
        <is>
          <t>ENA</t>
        </is>
      </c>
      <c r="C23" s="40" t="inlineStr">
        <is>
          <t>Col Gulf</t>
        </is>
      </c>
      <c r="D23" s="40" t="inlineStr">
        <is>
          <t>CMD</t>
        </is>
      </c>
      <c r="E23" s="109" t="n">
        <v>36656</v>
      </c>
      <c r="F23" s="109" t="n">
        <v>36950</v>
      </c>
      <c r="G23" s="57" t="inlineStr">
        <is>
          <t>Rayne</t>
        </is>
      </c>
      <c r="H23" s="57" t="inlineStr">
        <is>
          <t>Leach</t>
        </is>
      </c>
      <c r="I23" s="40" t="inlineStr">
        <is>
          <t>FTS-1</t>
        </is>
      </c>
      <c r="J23" s="153">
        <f>3.145/J1</f>
        <v/>
      </c>
      <c r="K23" s="151" t="n"/>
      <c r="L23" s="151" t="n"/>
      <c r="M23" s="151" t="n"/>
      <c r="N23" s="151" t="n"/>
      <c r="O23" s="152" t="n"/>
      <c r="P23" s="151" t="n"/>
      <c r="Q23" s="48" t="n">
        <v>68309</v>
      </c>
      <c r="R23" s="40" t="n">
        <v>9</v>
      </c>
      <c r="S23" s="57" t="n"/>
      <c r="T23" s="28">
        <f>+R23*J23*$J$1</f>
        <v/>
      </c>
      <c r="U23" s="28" t="n"/>
      <c r="V23" s="55" t="n">
        <v>262090</v>
      </c>
      <c r="W23" s="57" t="inlineStr">
        <is>
          <t>From CES #66615</t>
        </is>
      </c>
      <c r="X23" s="137" t="n"/>
      <c r="Y23" s="137" t="n"/>
    </row>
    <row r="24" customFormat="1" s="112">
      <c r="B24" s="57" t="inlineStr">
        <is>
          <t>ENA</t>
        </is>
      </c>
      <c r="C24" s="40" t="inlineStr">
        <is>
          <t>Col Gulf</t>
        </is>
      </c>
      <c r="D24" s="40" t="inlineStr">
        <is>
          <t>CMD</t>
        </is>
      </c>
      <c r="E24" s="109" t="n">
        <v>36739</v>
      </c>
      <c r="F24" s="109" t="n">
        <v>36738</v>
      </c>
      <c r="G24" s="57" t="inlineStr">
        <is>
          <t>Rayne</t>
        </is>
      </c>
      <c r="H24" s="57" t="inlineStr">
        <is>
          <t>Leach</t>
        </is>
      </c>
      <c r="I24" s="40" t="inlineStr">
        <is>
          <t>FTS-1</t>
        </is>
      </c>
      <c r="J24" s="153">
        <f>3.145/J1</f>
        <v/>
      </c>
      <c r="K24" s="151" t="n"/>
      <c r="L24" s="151" t="n"/>
      <c r="M24" s="151" t="n"/>
      <c r="N24" s="151" t="n"/>
      <c r="O24" s="152" t="n"/>
      <c r="P24" s="151" t="n"/>
      <c r="Q24" s="48" t="n">
        <v>68929</v>
      </c>
      <c r="R24" s="40" t="n">
        <v>48</v>
      </c>
      <c r="S24" s="57" t="inlineStr">
        <is>
          <t>#29638</t>
        </is>
      </c>
      <c r="T24" s="28">
        <f>+R24*J24*$J$1</f>
        <v/>
      </c>
      <c r="U24" s="28" t="n"/>
      <c r="V24" s="55" t="n">
        <v>345091</v>
      </c>
      <c r="W24" s="57" t="n"/>
      <c r="X24" s="137" t="n"/>
      <c r="Y24" s="137" t="n"/>
    </row>
    <row r="25" customFormat="1" s="112">
      <c r="B25" s="57" t="inlineStr">
        <is>
          <t>ENA</t>
        </is>
      </c>
      <c r="C25" s="40" t="inlineStr">
        <is>
          <t>Col Gulf</t>
        </is>
      </c>
      <c r="D25" s="40" t="inlineStr">
        <is>
          <t>CMD</t>
        </is>
      </c>
      <c r="E25" s="109" t="n">
        <v>36739</v>
      </c>
      <c r="F25" s="109" t="n">
        <v>37103</v>
      </c>
      <c r="G25" s="57" t="inlineStr">
        <is>
          <t>Rayne</t>
        </is>
      </c>
      <c r="H25" s="57" t="inlineStr">
        <is>
          <t>Leach</t>
        </is>
      </c>
      <c r="I25" s="40" t="inlineStr">
        <is>
          <t>FTS-1</t>
        </is>
      </c>
      <c r="J25" s="153">
        <f>3.145/J1</f>
        <v/>
      </c>
      <c r="K25" s="151" t="n"/>
      <c r="L25" s="151" t="n"/>
      <c r="M25" s="151" t="n"/>
      <c r="N25" s="151" t="n"/>
      <c r="O25" s="152" t="n"/>
      <c r="P25" s="151" t="n"/>
      <c r="Q25" s="48" t="n">
        <v>68927</v>
      </c>
      <c r="R25" s="40" t="n">
        <v>4</v>
      </c>
      <c r="S25" s="57" t="inlineStr">
        <is>
          <t>#29637</t>
        </is>
      </c>
      <c r="T25" s="28">
        <f>+R25*J25*$J$1</f>
        <v/>
      </c>
      <c r="U25" s="28" t="n"/>
      <c r="V25" s="55" t="n">
        <v>345112</v>
      </c>
      <c r="W25" s="57" t="n"/>
      <c r="X25" s="137" t="n"/>
      <c r="Y25" s="137" t="n"/>
    </row>
    <row r="26" customFormat="1" s="112">
      <c r="B26" s="57" t="inlineStr">
        <is>
          <t>ENA</t>
        </is>
      </c>
      <c r="C26" s="40" t="inlineStr">
        <is>
          <t>Col Gulf</t>
        </is>
      </c>
      <c r="D26" s="40" t="inlineStr">
        <is>
          <t>CMD</t>
        </is>
      </c>
      <c r="E26" s="109" t="n">
        <v>36770</v>
      </c>
      <c r="F26" s="109" t="n">
        <v>37104</v>
      </c>
      <c r="G26" s="57" t="inlineStr">
        <is>
          <t>Rayne</t>
        </is>
      </c>
      <c r="H26" s="57" t="inlineStr">
        <is>
          <t>Leach</t>
        </is>
      </c>
      <c r="I26" s="40" t="inlineStr">
        <is>
          <t>FTS-1</t>
        </is>
      </c>
      <c r="J26" s="153">
        <f>3.145/J1</f>
        <v/>
      </c>
      <c r="K26" s="151" t="n"/>
      <c r="L26" s="151" t="n"/>
      <c r="M26" s="151" t="n"/>
      <c r="N26" s="151" t="n"/>
      <c r="O26" s="152" t="n"/>
      <c r="P26" s="151" t="n"/>
      <c r="Q26" s="48" t="n">
        <v>69145</v>
      </c>
      <c r="R26" s="40" t="n">
        <v>63</v>
      </c>
      <c r="S26" s="57" t="inlineStr">
        <is>
          <t>#29879</t>
        </is>
      </c>
      <c r="T26" s="28">
        <f>+R26*J26*J1</f>
        <v/>
      </c>
      <c r="U26" s="28" t="n"/>
      <c r="V26" s="55" t="n">
        <v>372169</v>
      </c>
      <c r="W26" s="57" t="n"/>
      <c r="X26" s="137" t="n"/>
      <c r="Y26" s="137" t="n"/>
    </row>
    <row r="27" customFormat="1" s="112">
      <c r="B27" s="57" t="inlineStr">
        <is>
          <t>ENA</t>
        </is>
      </c>
      <c r="C27" s="40" t="inlineStr">
        <is>
          <t>Col Gulf</t>
        </is>
      </c>
      <c r="D27" s="40" t="inlineStr">
        <is>
          <t>CVA</t>
        </is>
      </c>
      <c r="E27" s="109" t="n">
        <v>36647</v>
      </c>
      <c r="F27" s="109" t="n">
        <v>37011</v>
      </c>
      <c r="G27" s="57" t="inlineStr">
        <is>
          <t>Rayne</t>
        </is>
      </c>
      <c r="H27" s="57" t="inlineStr">
        <is>
          <t>Leach</t>
        </is>
      </c>
      <c r="I27" s="40" t="inlineStr">
        <is>
          <t>FTS-1</t>
        </is>
      </c>
      <c r="J27" s="153">
        <f>3.154/J1</f>
        <v/>
      </c>
      <c r="K27" s="151" t="n"/>
      <c r="L27" s="151" t="n"/>
      <c r="M27" s="151" t="n"/>
      <c r="N27" s="151" t="n"/>
      <c r="O27" s="152" t="n"/>
      <c r="P27" s="151" t="n"/>
      <c r="Q27" s="48" t="n">
        <v>68281</v>
      </c>
      <c r="R27" s="40" t="n">
        <v>21</v>
      </c>
      <c r="S27" s="57" t="inlineStr">
        <is>
          <t>#28632</t>
        </is>
      </c>
      <c r="T27" s="28">
        <f>+R27*J27*$J$1</f>
        <v/>
      </c>
      <c r="U27" s="28" t="n"/>
      <c r="V27" s="55" t="n">
        <v>256413</v>
      </c>
      <c r="W27" s="57" t="n"/>
      <c r="X27" s="137" t="n"/>
      <c r="Y27" s="137" t="n"/>
    </row>
    <row r="28"/>
    <row r="29" customFormat="1" s="112">
      <c r="B29" s="57" t="n"/>
      <c r="C29" s="40" t="n"/>
      <c r="D29" s="40" t="n"/>
      <c r="E29" s="109" t="n"/>
      <c r="F29" s="109" t="n"/>
      <c r="G29" s="57" t="n"/>
      <c r="H29" s="57" t="n"/>
      <c r="I29" s="40" t="n"/>
      <c r="J29" s="153" t="n"/>
      <c r="K29" s="151" t="n"/>
      <c r="L29" s="151" t="n"/>
      <c r="M29" s="151" t="n"/>
      <c r="N29" s="151" t="n"/>
      <c r="O29" s="152" t="n"/>
      <c r="P29" s="151" t="n"/>
      <c r="Q29" s="48" t="n"/>
      <c r="R29" s="40" t="n"/>
      <c r="S29" s="57" t="n"/>
      <c r="T29" s="28" t="n"/>
      <c r="U29" s="28" t="n"/>
      <c r="V29" s="55" t="n"/>
      <c r="W29" s="57" t="n"/>
      <c r="X29" s="137" t="n"/>
      <c r="Y29" s="137" t="n"/>
    </row>
    <row r="30">
      <c r="B30" s="57" t="n"/>
      <c r="C30" s="40" t="n"/>
      <c r="D30" s="40" t="n"/>
      <c r="E30" s="109" t="n"/>
      <c r="F30" s="109" t="n"/>
      <c r="G30" s="57" t="n"/>
      <c r="H30" s="57" t="n"/>
      <c r="I30" s="40" t="n"/>
      <c r="J30" s="153" t="n"/>
      <c r="K30" s="151" t="n"/>
      <c r="L30" s="151" t="n"/>
      <c r="M30" s="151" t="n"/>
      <c r="N30" s="151" t="n"/>
      <c r="O30" s="152" t="n"/>
      <c r="P30" s="151" t="n"/>
      <c r="Q30" s="48" t="n"/>
      <c r="R30" s="49">
        <f>SUM(R12:R28)</f>
        <v/>
      </c>
      <c r="S30" s="40" t="n"/>
      <c r="T30" s="28">
        <f>SUM(T12:T29)</f>
        <v/>
      </c>
      <c r="U30" s="28" t="n"/>
      <c r="V30" s="55" t="n"/>
      <c r="W30" s="57" t="n"/>
      <c r="X30" s="137" t="n"/>
      <c r="Y30" s="137" t="n"/>
    </row>
    <row r="31">
      <c r="B31" s="16" t="inlineStr">
        <is>
          <t>buy/sell</t>
        </is>
      </c>
      <c r="C31" s="17" t="inlineStr">
        <is>
          <t>pipe</t>
        </is>
      </c>
      <c r="D31" s="17" t="inlineStr">
        <is>
          <t>customer</t>
        </is>
      </c>
      <c r="E31" s="18" t="inlineStr">
        <is>
          <t>dates</t>
        </is>
      </c>
      <c r="F31" s="18" t="n"/>
      <c r="G31" s="16" t="inlineStr">
        <is>
          <t>rec</t>
        </is>
      </c>
      <c r="H31" s="16" t="inlineStr">
        <is>
          <t>del</t>
        </is>
      </c>
      <c r="I31" s="17" t="inlineStr">
        <is>
          <t>Type</t>
        </is>
      </c>
      <c r="J31" s="155" t="inlineStr">
        <is>
          <t>dem</t>
        </is>
      </c>
      <c r="K31" s="17" t="inlineStr">
        <is>
          <t>com</t>
        </is>
      </c>
      <c r="L31" s="17" t="inlineStr">
        <is>
          <t>aca</t>
        </is>
      </c>
      <c r="M31" s="17" t="inlineStr">
        <is>
          <t>gri</t>
        </is>
      </c>
      <c r="N31" s="17" t="inlineStr">
        <is>
          <t>s/c</t>
        </is>
      </c>
      <c r="O31" s="156" t="inlineStr">
        <is>
          <t>fuel %</t>
        </is>
      </c>
      <c r="P31" s="17" t="inlineStr">
        <is>
          <t>total</t>
        </is>
      </c>
      <c r="Q31" s="20" t="inlineStr">
        <is>
          <t>New K#</t>
        </is>
      </c>
      <c r="R31" s="17" t="inlineStr">
        <is>
          <t>vol</t>
        </is>
      </c>
      <c r="S31" s="16" t="inlineStr">
        <is>
          <t>comment</t>
        </is>
      </c>
      <c r="T31" s="21" t="inlineStr">
        <is>
          <t>Est Demand</t>
        </is>
      </c>
      <c r="U31" s="21" t="inlineStr">
        <is>
          <t>Act Demand</t>
        </is>
      </c>
      <c r="V31" s="53" t="inlineStr">
        <is>
          <t>New Sitara</t>
        </is>
      </c>
      <c r="W31" s="58">
        <f>+#REF!</f>
        <v/>
      </c>
      <c r="X31" s="137" t="n"/>
      <c r="Y31" s="137" t="n"/>
    </row>
    <row r="32" ht="12" customFormat="1" customHeight="1" s="129">
      <c r="B32" s="118" t="inlineStr">
        <is>
          <t>ENA</t>
        </is>
      </c>
      <c r="C32" s="134" t="inlineStr">
        <is>
          <t>SNAT</t>
        </is>
      </c>
      <c r="D32" s="134" t="inlineStr">
        <is>
          <t>AGL</t>
        </is>
      </c>
      <c r="E32" s="120" t="n">
        <v>36770</v>
      </c>
      <c r="F32" s="120" t="n">
        <v>36799</v>
      </c>
      <c r="G32" s="121" t="n"/>
      <c r="H32" s="121" t="n"/>
      <c r="I32" s="134" t="inlineStr">
        <is>
          <t>CSS</t>
        </is>
      </c>
      <c r="J32" s="157" t="n">
        <v>0.02834</v>
      </c>
      <c r="K32" s="158" t="n">
        <v>0</v>
      </c>
      <c r="L32" s="158" t="n">
        <v>0.0022</v>
      </c>
      <c r="M32" s="158" t="n">
        <v>0.0072</v>
      </c>
      <c r="N32" s="158" t="n">
        <v>0</v>
      </c>
      <c r="O32" s="159" t="n">
        <v>0</v>
      </c>
      <c r="P32" s="158">
        <f>SUM(J32:N32)</f>
        <v/>
      </c>
      <c r="Q32" s="125" t="inlineStr">
        <is>
          <t>SSNG45</t>
        </is>
      </c>
      <c r="R32" s="134" t="n">
        <v>243849</v>
      </c>
      <c r="S32" s="118" t="inlineStr">
        <is>
          <t>MSQ</t>
        </is>
      </c>
      <c r="T32" s="126">
        <f>+J32*R32</f>
        <v/>
      </c>
      <c r="U32" s="126" t="n"/>
      <c r="V32" s="127" t="n">
        <v>382790</v>
      </c>
      <c r="W32" s="118" t="n"/>
      <c r="X32" s="135" t="n"/>
      <c r="Y32" s="135" t="n"/>
    </row>
    <row r="33" ht="12" customFormat="1" customHeight="1" s="129">
      <c r="B33" s="118" t="inlineStr">
        <is>
          <t>ENA</t>
        </is>
      </c>
      <c r="C33" s="134" t="inlineStr">
        <is>
          <t>SNAT</t>
        </is>
      </c>
      <c r="D33" s="134" t="inlineStr">
        <is>
          <t>AGL</t>
        </is>
      </c>
      <c r="E33" s="120" t="n">
        <v>36770</v>
      </c>
      <c r="F33" s="120" t="n">
        <v>36799</v>
      </c>
      <c r="G33" s="121" t="n"/>
      <c r="H33" s="121" t="n"/>
      <c r="I33" s="134" t="inlineStr">
        <is>
          <t>CSS</t>
        </is>
      </c>
      <c r="J33" s="157">
        <f>1.544/J1</f>
        <v/>
      </c>
      <c r="K33" s="158" t="n">
        <v>0</v>
      </c>
      <c r="L33" s="158" t="n">
        <v>0.0022</v>
      </c>
      <c r="M33" s="158" t="n">
        <v>0.0072</v>
      </c>
      <c r="N33" s="158" t="n">
        <v>0</v>
      </c>
      <c r="O33" s="159" t="n">
        <v>0</v>
      </c>
      <c r="P33" s="158">
        <f>SUM(J33:N33)</f>
        <v/>
      </c>
      <c r="Q33" s="125" t="inlineStr">
        <is>
          <t>SSNG45</t>
        </is>
      </c>
      <c r="R33" s="134" t="n">
        <v>4924</v>
      </c>
      <c r="S33" s="118" t="inlineStr">
        <is>
          <t>MDWQ</t>
        </is>
      </c>
      <c r="T33" s="126">
        <f>+J33*R33*30</f>
        <v/>
      </c>
      <c r="U33" s="126" t="n"/>
      <c r="V33" s="127" t="n">
        <v>382790</v>
      </c>
      <c r="W33" s="118" t="n"/>
      <c r="X33" s="135" t="n"/>
      <c r="Y33" s="135" t="n"/>
    </row>
    <row r="34" ht="12" customFormat="1" customHeight="1" s="112">
      <c r="B34" s="57" t="inlineStr">
        <is>
          <t>ENA</t>
        </is>
      </c>
      <c r="C34" s="40" t="inlineStr">
        <is>
          <t>SNAT</t>
        </is>
      </c>
      <c r="D34" s="40" t="inlineStr">
        <is>
          <t>AGL</t>
        </is>
      </c>
      <c r="E34" s="109" t="n">
        <v>36739</v>
      </c>
      <c r="F34" s="109" t="n">
        <v>36769</v>
      </c>
      <c r="G34" s="59" t="n"/>
      <c r="H34" s="59" t="n"/>
      <c r="I34" s="40" t="inlineStr">
        <is>
          <t>CSS</t>
        </is>
      </c>
      <c r="J34" s="153" t="n">
        <v>0.02834</v>
      </c>
      <c r="K34" s="151" t="n">
        <v>0</v>
      </c>
      <c r="L34" s="151" t="n">
        <v>0.0022</v>
      </c>
      <c r="M34" s="151" t="n">
        <v>0.0072</v>
      </c>
      <c r="N34" s="151" t="n">
        <v>0</v>
      </c>
      <c r="O34" s="152" t="n">
        <v>0</v>
      </c>
      <c r="P34" s="151">
        <f>SUM(J34:N34)</f>
        <v/>
      </c>
      <c r="Q34" s="48" t="inlineStr">
        <is>
          <t>SSNG45</t>
        </is>
      </c>
      <c r="R34" s="40" t="n">
        <v>12073</v>
      </c>
      <c r="S34" s="57" t="inlineStr">
        <is>
          <t>MSQ</t>
        </is>
      </c>
      <c r="T34" s="28">
        <f>+J34*R34</f>
        <v/>
      </c>
      <c r="U34" s="28" t="n"/>
      <c r="V34" s="55" t="n">
        <v>345053</v>
      </c>
      <c r="W34" s="57" t="n"/>
      <c r="X34" s="137" t="n"/>
      <c r="Y34" s="137" t="n"/>
    </row>
    <row r="35" ht="12" customFormat="1" customHeight="1" s="112">
      <c r="B35" s="57" t="inlineStr">
        <is>
          <t>ENA</t>
        </is>
      </c>
      <c r="C35" s="40" t="inlineStr">
        <is>
          <t>SNAT</t>
        </is>
      </c>
      <c r="D35" s="40" t="inlineStr">
        <is>
          <t>AGL</t>
        </is>
      </c>
      <c r="E35" s="109" t="n">
        <v>36739</v>
      </c>
      <c r="F35" s="109" t="n">
        <v>36769</v>
      </c>
      <c r="G35" s="59" t="n"/>
      <c r="H35" s="59" t="n"/>
      <c r="I35" s="40" t="inlineStr">
        <is>
          <t>CSS</t>
        </is>
      </c>
      <c r="J35" s="153">
        <f>1.544/31</f>
        <v/>
      </c>
      <c r="K35" s="151" t="n">
        <v>0</v>
      </c>
      <c r="L35" s="151" t="n">
        <v>0.0022</v>
      </c>
      <c r="M35" s="151" t="n">
        <v>0.0072</v>
      </c>
      <c r="N35" s="151" t="n">
        <v>0</v>
      </c>
      <c r="O35" s="152" t="n">
        <v>0</v>
      </c>
      <c r="P35" s="151">
        <f>SUM(J35:N35)</f>
        <v/>
      </c>
      <c r="Q35" s="48" t="inlineStr">
        <is>
          <t>SSNG45</t>
        </is>
      </c>
      <c r="R35" s="40" t="n">
        <v>244</v>
      </c>
      <c r="S35" s="57" t="inlineStr">
        <is>
          <t>MDWQ</t>
        </is>
      </c>
      <c r="T35" s="28">
        <f>+J35*R35*30</f>
        <v/>
      </c>
      <c r="U35" s="28" t="n"/>
      <c r="V35" s="55" t="n">
        <v>345053</v>
      </c>
      <c r="W35" s="57" t="n"/>
      <c r="X35" s="137" t="n"/>
      <c r="Y35" s="137" t="n"/>
    </row>
    <row r="36" ht="12" customFormat="1" customHeight="1" s="129">
      <c r="B36" s="118" t="inlineStr">
        <is>
          <t>ENA</t>
        </is>
      </c>
      <c r="C36" s="134" t="inlineStr">
        <is>
          <t>SNAT</t>
        </is>
      </c>
      <c r="D36" s="134" t="inlineStr">
        <is>
          <t>AGL</t>
        </is>
      </c>
      <c r="E36" s="120" t="n">
        <v>36770</v>
      </c>
      <c r="F36" s="120" t="n">
        <v>36799</v>
      </c>
      <c r="G36" s="118" t="inlineStr">
        <is>
          <t>Z1</t>
        </is>
      </c>
      <c r="H36" s="118" t="inlineStr">
        <is>
          <t>Z3</t>
        </is>
      </c>
      <c r="I36" s="134" t="inlineStr">
        <is>
          <t>FT</t>
        </is>
      </c>
      <c r="J36" s="157">
        <f>10.913/J1</f>
        <v/>
      </c>
      <c r="K36" s="158" t="n"/>
      <c r="L36" s="158" t="n"/>
      <c r="M36" s="158" t="n"/>
      <c r="N36" s="158" t="n"/>
      <c r="O36" s="159" t="n"/>
      <c r="P36" s="158" t="n"/>
      <c r="Q36" s="125" t="inlineStr">
        <is>
          <t>FSNG101</t>
        </is>
      </c>
      <c r="R36" s="134" t="n">
        <v>8860</v>
      </c>
      <c r="S36" s="132" t="inlineStr">
        <is>
          <t>[PHONE_PREFIX]-1743</t>
        </is>
      </c>
      <c r="T36" s="126">
        <f>+R36*J36*30</f>
        <v/>
      </c>
      <c r="U36" s="126" t="n"/>
      <c r="V36" s="127" t="n">
        <v>382793</v>
      </c>
      <c r="W36" s="118" t="n"/>
      <c r="X36" s="135" t="n"/>
      <c r="Y36" s="135" t="n"/>
    </row>
    <row r="37" ht="12" customFormat="1" customHeight="1" s="112">
      <c r="B37" s="57" t="inlineStr">
        <is>
          <t>ENA</t>
        </is>
      </c>
      <c r="C37" s="40" t="inlineStr">
        <is>
          <t>SNAT</t>
        </is>
      </c>
      <c r="D37" s="40" t="inlineStr">
        <is>
          <t>AGL</t>
        </is>
      </c>
      <c r="E37" s="109" t="n">
        <v>36770</v>
      </c>
      <c r="F37" s="109" t="n">
        <v>36799</v>
      </c>
      <c r="G37" s="57" t="inlineStr">
        <is>
          <t>Z1</t>
        </is>
      </c>
      <c r="H37" s="57" t="inlineStr">
        <is>
          <t>Z3</t>
        </is>
      </c>
      <c r="I37" s="40" t="inlineStr">
        <is>
          <t>FT</t>
        </is>
      </c>
      <c r="J37" s="153" t="n"/>
      <c r="K37" s="151" t="n"/>
      <c r="L37" s="151" t="n"/>
      <c r="M37" s="151" t="n"/>
      <c r="N37" s="151" t="n"/>
      <c r="O37" s="152" t="n"/>
      <c r="P37" s="151" t="n"/>
      <c r="Q37" s="48" t="n"/>
      <c r="R37" s="40" t="n"/>
      <c r="S37" s="57" t="n"/>
      <c r="T37" s="28" t="n"/>
      <c r="U37" s="28" t="n"/>
      <c r="V37" s="55" t="n"/>
      <c r="W37" s="57" t="n"/>
      <c r="X37" s="137" t="n"/>
      <c r="Y37" s="137" t="n"/>
    </row>
    <row r="38" ht="12" customFormat="1" customHeight="1" s="129">
      <c r="B38" s="118" t="inlineStr">
        <is>
          <t>ENA</t>
        </is>
      </c>
      <c r="C38" s="134" t="inlineStr">
        <is>
          <t>SNAT</t>
        </is>
      </c>
      <c r="D38" s="134" t="inlineStr">
        <is>
          <t>AGL</t>
        </is>
      </c>
      <c r="E38" s="120" t="n">
        <v>36770</v>
      </c>
      <c r="F38" s="120" t="n">
        <v>36799</v>
      </c>
      <c r="G38" s="121" t="n"/>
      <c r="H38" s="121" t="n"/>
      <c r="I38" s="134" t="inlineStr">
        <is>
          <t>FT</t>
        </is>
      </c>
      <c r="J38" s="157">
        <f>10.913/J1</f>
        <v/>
      </c>
      <c r="K38" s="158" t="n"/>
      <c r="L38" s="158" t="n"/>
      <c r="M38" s="158" t="n"/>
      <c r="N38" s="158" t="n"/>
      <c r="O38" s="159" t="n"/>
      <c r="P38" s="158" t="n"/>
      <c r="Q38" s="125" t="inlineStr">
        <is>
          <t>FSNG101</t>
        </is>
      </c>
      <c r="R38" s="134" t="n">
        <v>201</v>
      </c>
      <c r="S38" s="121" t="inlineStr">
        <is>
          <t>[PHONE_PREFIX]-1730</t>
        </is>
      </c>
      <c r="T38" s="126" t="n">
        <v>201</v>
      </c>
      <c r="U38" s="126" t="n"/>
      <c r="V38" s="127" t="n">
        <v>382805</v>
      </c>
      <c r="W38" s="118" t="n"/>
      <c r="X38" s="135" t="n"/>
      <c r="Y38" s="135" t="n"/>
    </row>
    <row r="39" ht="12" customFormat="1" customHeight="1" s="129">
      <c r="B39" s="118" t="inlineStr">
        <is>
          <t>ENA</t>
        </is>
      </c>
      <c r="C39" s="134" t="inlineStr">
        <is>
          <t>SNAT</t>
        </is>
      </c>
      <c r="D39" s="134" t="inlineStr">
        <is>
          <t>AGL</t>
        </is>
      </c>
      <c r="E39" s="120" t="n">
        <v>36770</v>
      </c>
      <c r="F39" s="120" t="n">
        <v>36799</v>
      </c>
      <c r="G39" s="121" t="n"/>
      <c r="H39" s="121" t="n"/>
      <c r="I39" s="134" t="inlineStr">
        <is>
          <t>FT</t>
        </is>
      </c>
      <c r="J39" s="157">
        <f>10.913/31</f>
        <v/>
      </c>
      <c r="K39" s="158" t="n"/>
      <c r="L39" s="158" t="n"/>
      <c r="M39" s="158" t="n"/>
      <c r="N39" s="158" t="n"/>
      <c r="O39" s="159" t="n"/>
      <c r="P39" s="158" t="n"/>
      <c r="Q39" s="125" t="inlineStr">
        <is>
          <t>FSNG101</t>
        </is>
      </c>
      <c r="R39" s="134" t="n">
        <v>1957</v>
      </c>
      <c r="S39" s="121" t="inlineStr">
        <is>
          <t>[PHONE_PREFIX]-1777</t>
        </is>
      </c>
      <c r="T39" s="126">
        <f>J39*J$1*R39</f>
        <v/>
      </c>
      <c r="U39" s="126" t="n"/>
      <c r="V39" s="127" t="n">
        <v>382806</v>
      </c>
      <c r="W39" s="118" t="n"/>
      <c r="X39" s="135" t="n"/>
      <c r="Y39" s="135" t="n"/>
    </row>
    <row r="40" ht="12" customFormat="1" customHeight="1" s="129">
      <c r="B40" s="118" t="inlineStr">
        <is>
          <t>ENA</t>
        </is>
      </c>
      <c r="C40" s="134" t="inlineStr">
        <is>
          <t>SNAT</t>
        </is>
      </c>
      <c r="D40" s="134" t="inlineStr">
        <is>
          <t>AGL</t>
        </is>
      </c>
      <c r="E40" s="120" t="n">
        <v>36770</v>
      </c>
      <c r="F40" s="120" t="n">
        <v>36799</v>
      </c>
      <c r="G40" s="121" t="n"/>
      <c r="H40" s="121" t="n"/>
      <c r="I40" s="134" t="inlineStr">
        <is>
          <t>FT</t>
        </is>
      </c>
      <c r="J40" s="157">
        <f>8.223/J1</f>
        <v/>
      </c>
      <c r="K40" s="158" t="n"/>
      <c r="L40" s="158" t="n"/>
      <c r="M40" s="158" t="n"/>
      <c r="N40" s="158" t="n"/>
      <c r="O40" s="159" t="n"/>
      <c r="P40" s="158" t="n"/>
      <c r="Q40" s="125" t="inlineStr">
        <is>
          <t>FSNG101</t>
        </is>
      </c>
      <c r="R40" s="134" t="n">
        <v>149</v>
      </c>
      <c r="S40" s="132" t="inlineStr">
        <is>
          <t>[PHONE_PREFIX]-1764</t>
        </is>
      </c>
      <c r="T40" s="126" t="n">
        <v>149</v>
      </c>
      <c r="U40" s="126" t="n"/>
      <c r="V40" s="127" t="n">
        <v>382807</v>
      </c>
      <c r="W40" s="118" t="n"/>
      <c r="X40" s="135" t="n"/>
      <c r="Y40" s="135" t="n"/>
    </row>
    <row r="41" ht="12" customFormat="1" customHeight="1" s="129">
      <c r="B41" s="118" t="inlineStr">
        <is>
          <t>ENA</t>
        </is>
      </c>
      <c r="C41" s="134" t="inlineStr">
        <is>
          <t>SGA</t>
        </is>
      </c>
      <c r="D41" s="134" t="inlineStr">
        <is>
          <t>AGL</t>
        </is>
      </c>
      <c r="E41" s="120" t="n">
        <v>36770</v>
      </c>
      <c r="F41" s="120" t="n">
        <v>36799</v>
      </c>
      <c r="G41" s="118" t="inlineStr">
        <is>
          <t>Z1</t>
        </is>
      </c>
      <c r="H41" s="118" t="inlineStr">
        <is>
          <t>Z1</t>
        </is>
      </c>
      <c r="I41" s="134" t="inlineStr">
        <is>
          <t>FT</t>
        </is>
      </c>
      <c r="J41" s="157">
        <f>4.75/J1</f>
        <v/>
      </c>
      <c r="K41" s="158" t="n"/>
      <c r="L41" s="158" t="n"/>
      <c r="M41" s="158" t="n"/>
      <c r="N41" s="158" t="n"/>
      <c r="O41" s="159" t="n"/>
      <c r="P41" s="158" t="n"/>
      <c r="Q41" s="125" t="inlineStr">
        <is>
          <t>FSGA25</t>
        </is>
      </c>
      <c r="R41" s="134" t="n">
        <v>151</v>
      </c>
      <c r="S41" s="132" t="inlineStr">
        <is>
          <t>[PHONE_PREFIX]-1719</t>
        </is>
      </c>
      <c r="T41" s="126">
        <f>J41*J$1*R41</f>
        <v/>
      </c>
      <c r="U41" s="126" t="n"/>
      <c r="V41" s="127" t="n">
        <v>382813</v>
      </c>
      <c r="W41" s="118" t="n"/>
      <c r="X41" s="135" t="n"/>
      <c r="Y41" s="135" t="n"/>
    </row>
    <row r="42" ht="12" customFormat="1" customHeight="1" s="112">
      <c r="B42" s="57" t="inlineStr">
        <is>
          <t>ENA</t>
        </is>
      </c>
      <c r="C42" s="40" t="inlineStr">
        <is>
          <t>SGA</t>
        </is>
      </c>
      <c r="D42" s="40" t="inlineStr">
        <is>
          <t>AGL</t>
        </is>
      </c>
      <c r="E42" s="109" t="n">
        <v>36739</v>
      </c>
      <c r="F42" s="109" t="n">
        <v>36769</v>
      </c>
      <c r="G42" s="57" t="inlineStr">
        <is>
          <t>Z1</t>
        </is>
      </c>
      <c r="H42" s="57" t="inlineStr">
        <is>
          <t>Z1</t>
        </is>
      </c>
      <c r="I42" s="40" t="inlineStr">
        <is>
          <t>FT</t>
        </is>
      </c>
      <c r="J42" s="153">
        <f>10.913/31</f>
        <v/>
      </c>
      <c r="K42" s="151" t="n"/>
      <c r="L42" s="151" t="n"/>
      <c r="M42" s="151" t="n"/>
      <c r="N42" s="151" t="n"/>
      <c r="O42" s="152" t="n"/>
      <c r="P42" s="151" t="n"/>
      <c r="Q42" s="48" t="inlineStr">
        <is>
          <t>FSGA25</t>
        </is>
      </c>
      <c r="R42" s="40">
        <f>431+67</f>
        <v/>
      </c>
      <c r="S42" s="57" t="n"/>
      <c r="T42" s="28">
        <f>J42*J$1*R42</f>
        <v/>
      </c>
      <c r="U42" s="28" t="n"/>
      <c r="V42" s="55" t="n">
        <v>345006</v>
      </c>
      <c r="W42" s="57" t="n"/>
      <c r="X42" s="137" t="n"/>
      <c r="Y42" s="137" t="n"/>
    </row>
    <row r="43" ht="12" customFormat="1" customHeight="1" s="112">
      <c r="B43" s="57" t="n"/>
      <c r="C43" s="40" t="n"/>
      <c r="D43" s="40" t="n"/>
      <c r="E43" s="109" t="n"/>
      <c r="F43" s="109" t="n"/>
      <c r="G43" s="57" t="n"/>
      <c r="H43" s="57" t="n"/>
      <c r="I43" s="40" t="n"/>
      <c r="J43" s="153" t="n"/>
      <c r="K43" s="151" t="n"/>
      <c r="L43" s="151" t="n"/>
      <c r="M43" s="151" t="n"/>
      <c r="N43" s="151" t="n"/>
      <c r="O43" s="152" t="n"/>
      <c r="P43" s="151" t="n"/>
      <c r="Q43" s="48" t="n"/>
      <c r="R43" s="40" t="n"/>
      <c r="S43" s="57" t="n"/>
      <c r="T43" s="28" t="n"/>
      <c r="U43" s="28" t="n"/>
      <c r="V43" s="55" t="n"/>
      <c r="W43" s="57" t="n"/>
      <c r="X43" s="137" t="n"/>
      <c r="Y43" s="137" t="n"/>
    </row>
    <row r="44" customFormat="1" s="112">
      <c r="B44" s="57" t="n"/>
      <c r="C44" s="40" t="n"/>
      <c r="D44" s="40" t="n"/>
      <c r="E44" s="109" t="n"/>
      <c r="F44" s="109" t="n"/>
      <c r="G44" s="59" t="n"/>
      <c r="H44" s="59" t="n"/>
      <c r="I44" s="40" t="n"/>
      <c r="J44" s="153" t="n"/>
      <c r="K44" s="151" t="n"/>
      <c r="L44" s="151" t="n"/>
      <c r="M44" s="151" t="n"/>
      <c r="N44" s="151" t="n"/>
      <c r="O44" s="152" t="n"/>
      <c r="P44" s="151" t="n"/>
      <c r="Q44" s="48" t="n"/>
      <c r="R44" s="40" t="n"/>
      <c r="S44" s="57" t="n"/>
      <c r="T44" s="28">
        <f>SUM(T32:T43)</f>
        <v/>
      </c>
      <c r="U44" s="28" t="n"/>
      <c r="V44" s="55" t="n"/>
      <c r="W44" s="57" t="n"/>
      <c r="X44" s="137" t="n"/>
      <c r="Y44" s="137" t="n"/>
    </row>
    <row r="45">
      <c r="B45" s="16" t="inlineStr">
        <is>
          <t>buy/sell</t>
        </is>
      </c>
      <c r="C45" s="17" t="inlineStr">
        <is>
          <t>pipe</t>
        </is>
      </c>
      <c r="D45" s="17" t="inlineStr">
        <is>
          <t>customer</t>
        </is>
      </c>
      <c r="E45" s="18" t="inlineStr">
        <is>
          <t>dates</t>
        </is>
      </c>
      <c r="F45" s="18" t="n"/>
      <c r="G45" s="16" t="inlineStr">
        <is>
          <t>rec</t>
        </is>
      </c>
      <c r="H45" s="16" t="inlineStr">
        <is>
          <t>del</t>
        </is>
      </c>
      <c r="I45" s="17" t="inlineStr">
        <is>
          <t>Type</t>
        </is>
      </c>
      <c r="J45" s="155" t="inlineStr">
        <is>
          <t>dem</t>
        </is>
      </c>
      <c r="K45" s="17" t="inlineStr">
        <is>
          <t>com</t>
        </is>
      </c>
      <c r="L45" s="17" t="inlineStr">
        <is>
          <t>aca</t>
        </is>
      </c>
      <c r="M45" s="17" t="inlineStr">
        <is>
          <t>gri</t>
        </is>
      </c>
      <c r="N45" s="17" t="inlineStr">
        <is>
          <t>s/c</t>
        </is>
      </c>
      <c r="O45" s="156" t="inlineStr">
        <is>
          <t>fuel %</t>
        </is>
      </c>
      <c r="P45" s="17" t="inlineStr">
        <is>
          <t>total</t>
        </is>
      </c>
      <c r="Q45" s="20" t="inlineStr">
        <is>
          <t>New K#</t>
        </is>
      </c>
      <c r="R45" s="17" t="inlineStr">
        <is>
          <t>vol</t>
        </is>
      </c>
      <c r="S45" s="16" t="inlineStr">
        <is>
          <t>comment</t>
        </is>
      </c>
      <c r="T45" s="21" t="inlineStr">
        <is>
          <t>Est Demand</t>
        </is>
      </c>
      <c r="U45" s="21" t="inlineStr">
        <is>
          <t>Act Demand</t>
        </is>
      </c>
      <c r="V45" s="53" t="inlineStr">
        <is>
          <t>New Sitara</t>
        </is>
      </c>
      <c r="W45" s="58">
        <f>+#REF!</f>
        <v/>
      </c>
      <c r="X45" s="137" t="n"/>
      <c r="Y45" s="137" t="n"/>
    </row>
    <row r="46" customFormat="1" s="129">
      <c r="B46" s="118" t="inlineStr">
        <is>
          <t>ENA</t>
        </is>
      </c>
      <c r="C46" s="134" t="inlineStr">
        <is>
          <t>[Person_12]</t>
        </is>
      </c>
      <c r="D46" s="134" t="inlineStr">
        <is>
          <t>Atlanta</t>
        </is>
      </c>
      <c r="E46" s="120" t="n">
        <v>36770</v>
      </c>
      <c r="F46" s="120" t="n">
        <v>36799</v>
      </c>
      <c r="G46" s="118" t="inlineStr">
        <is>
          <t>Various</t>
        </is>
      </c>
      <c r="H46" s="121" t="inlineStr">
        <is>
          <t>020042 East Lobelville</t>
        </is>
      </c>
      <c r="I46" s="134" t="inlineStr">
        <is>
          <t>FT-A</t>
        </is>
      </c>
      <c r="J46" s="157">
        <f>5.17/+J1</f>
        <v/>
      </c>
      <c r="K46" s="158" t="n">
        <v>0.07630000000000001</v>
      </c>
      <c r="L46" s="158" t="n">
        <v>0.0022</v>
      </c>
      <c r="M46" s="158" t="n">
        <v>0.0072</v>
      </c>
      <c r="N46" s="158" t="n">
        <v>0</v>
      </c>
      <c r="O46" s="159" t="n">
        <v>0.0279</v>
      </c>
      <c r="P46" s="158">
        <f>SUM(J46:N46)</f>
        <v/>
      </c>
      <c r="Q46" s="125" t="n">
        <v>34703</v>
      </c>
      <c r="R46" s="134" t="n">
        <v>1052</v>
      </c>
      <c r="S46" s="118" t="inlineStr">
        <is>
          <t>[Person_13] demand</t>
        </is>
      </c>
      <c r="T46" s="126">
        <f>J46*J$1*R46</f>
        <v/>
      </c>
      <c r="U46" s="126" t="n"/>
      <c r="V46" s="127" t="n">
        <v>384203</v>
      </c>
      <c r="W46" s="118" t="inlineStr">
        <is>
          <t>Released month to month</t>
        </is>
      </c>
      <c r="X46" s="135" t="n"/>
      <c r="Y46" s="135" t="n"/>
    </row>
    <row r="47" customFormat="1" s="129">
      <c r="B47" s="118" t="inlineStr">
        <is>
          <t>ENA</t>
        </is>
      </c>
      <c r="C47" s="134" t="inlineStr">
        <is>
          <t>[Person_12]</t>
        </is>
      </c>
      <c r="D47" s="134" t="inlineStr">
        <is>
          <t>Atlanta</t>
        </is>
      </c>
      <c r="E47" s="120" t="n">
        <v>36770</v>
      </c>
      <c r="F47" s="120" t="n">
        <v>36829</v>
      </c>
      <c r="G47" s="118" t="inlineStr">
        <is>
          <t>Various</t>
        </is>
      </c>
      <c r="H47" s="121" t="inlineStr">
        <is>
          <t>020042 East Lobelville</t>
        </is>
      </c>
      <c r="I47" s="134" t="inlineStr">
        <is>
          <t>FT-A</t>
        </is>
      </c>
      <c r="J47" s="157">
        <f>4.92/J1</f>
        <v/>
      </c>
      <c r="K47" s="158" t="n">
        <v>0.07630000000000001</v>
      </c>
      <c r="L47" s="158" t="n">
        <v>0.0022</v>
      </c>
      <c r="M47" s="158" t="n">
        <v>0.0072</v>
      </c>
      <c r="N47" s="158" t="n">
        <v>0</v>
      </c>
      <c r="O47" s="159" t="n">
        <v>0.0279</v>
      </c>
      <c r="P47" s="158">
        <f>SUM(J47:N47)</f>
        <v/>
      </c>
      <c r="Q47" s="125" t="n">
        <v>34608</v>
      </c>
      <c r="R47" s="134" t="n">
        <v>2455</v>
      </c>
      <c r="S47" s="118" t="inlineStr">
        <is>
          <t>[Person_13] demand</t>
        </is>
      </c>
      <c r="T47" s="126">
        <f>J47*J$1*R47</f>
        <v/>
      </c>
      <c r="U47" s="126" t="n"/>
      <c r="V47" s="127" t="n">
        <v>379572</v>
      </c>
      <c r="W47" s="118" t="n"/>
      <c r="X47" s="135" t="n"/>
      <c r="Y47" s="135" t="n"/>
    </row>
    <row r="48" customFormat="1" s="129">
      <c r="B48" s="118" t="inlineStr">
        <is>
          <t>ENA</t>
        </is>
      </c>
      <c r="C48" s="134" t="inlineStr">
        <is>
          <t>East Tenn</t>
        </is>
      </c>
      <c r="D48" s="134" t="inlineStr">
        <is>
          <t>Atlanta</t>
        </is>
      </c>
      <c r="E48" s="120" t="n">
        <v>36770</v>
      </c>
      <c r="F48" s="120" t="n">
        <v>36799</v>
      </c>
      <c r="G48" s="118" t="inlineStr">
        <is>
          <t>Lobelville</t>
        </is>
      </c>
      <c r="H48" s="118" t="inlineStr">
        <is>
          <t>Atlanta</t>
        </is>
      </c>
      <c r="I48" s="134" t="inlineStr">
        <is>
          <t>FT-A</t>
        </is>
      </c>
      <c r="J48" s="157">
        <f>11.95/J1</f>
        <v/>
      </c>
      <c r="K48" s="158" t="n">
        <v>0</v>
      </c>
      <c r="L48" s="158" t="n">
        <v>0.0022</v>
      </c>
      <c r="M48" s="158" t="n">
        <v>0.0072</v>
      </c>
      <c r="N48" s="158" t="n">
        <v>0</v>
      </c>
      <c r="O48" s="159" t="n">
        <v>0.0222</v>
      </c>
      <c r="P48" s="158">
        <f>SUM(J48:N48)</f>
        <v/>
      </c>
      <c r="Q48" s="125" t="n">
        <v>34686</v>
      </c>
      <c r="R48" s="134" t="n">
        <v>1174</v>
      </c>
      <c r="S48" s="118" t="inlineStr">
        <is>
          <t>[Person_13] demand</t>
        </is>
      </c>
      <c r="T48" s="126">
        <f>J48*J$1*R48</f>
        <v/>
      </c>
      <c r="U48" s="126" t="n"/>
      <c r="V48" s="127" t="n">
        <v>382821</v>
      </c>
      <c r="W48" s="118" t="inlineStr">
        <is>
          <t>Released month to month</t>
        </is>
      </c>
      <c r="X48" s="135" t="n"/>
      <c r="Y48" s="135" t="n"/>
    </row>
    <row r="49" customFormat="1" s="129">
      <c r="B49" s="118" t="inlineStr">
        <is>
          <t>ENA</t>
        </is>
      </c>
      <c r="C49" s="134" t="inlineStr">
        <is>
          <t>East Tenn</t>
        </is>
      </c>
      <c r="D49" s="134" t="inlineStr">
        <is>
          <t>Atlanta</t>
        </is>
      </c>
      <c r="E49" s="120" t="n">
        <v>36770</v>
      </c>
      <c r="F49" s="120" t="n">
        <v>36829</v>
      </c>
      <c r="G49" s="118" t="inlineStr">
        <is>
          <t>Lobelville</t>
        </is>
      </c>
      <c r="H49" s="118" t="inlineStr">
        <is>
          <t>Atlanta</t>
        </is>
      </c>
      <c r="I49" s="134" t="inlineStr">
        <is>
          <t>FT-A</t>
        </is>
      </c>
      <c r="J49" s="157">
        <f>11.92/J1</f>
        <v/>
      </c>
      <c r="K49" s="158" t="n">
        <v>0</v>
      </c>
      <c r="L49" s="158" t="n">
        <v>0.0022</v>
      </c>
      <c r="M49" s="158" t="n">
        <v>0.0072</v>
      </c>
      <c r="N49" s="158" t="n">
        <v>0</v>
      </c>
      <c r="O49" s="159" t="n">
        <v>0.0222</v>
      </c>
      <c r="P49" s="158">
        <f>SUM(J49:N49)</f>
        <v/>
      </c>
      <c r="Q49" s="125" t="n">
        <v>34594</v>
      </c>
      <c r="R49" s="134" t="n">
        <v>2738</v>
      </c>
      <c r="S49" s="118" t="inlineStr">
        <is>
          <t>[Person_13] demand</t>
        </is>
      </c>
      <c r="T49" s="126">
        <f>J49*J$1*R49</f>
        <v/>
      </c>
      <c r="U49" s="126" t="n"/>
      <c r="V49" s="127" t="n">
        <v>379663</v>
      </c>
      <c r="W49" s="118" t="n"/>
      <c r="X49" s="135" t="n"/>
      <c r="Y49" s="135" t="n"/>
    </row>
    <row r="50" customFormat="1" s="129">
      <c r="B50" s="118" t="inlineStr">
        <is>
          <t>ENA</t>
        </is>
      </c>
      <c r="C50" s="134" t="inlineStr">
        <is>
          <t>[Person_12]</t>
        </is>
      </c>
      <c r="D50" s="134" t="inlineStr">
        <is>
          <t>Atlanta</t>
        </is>
      </c>
      <c r="E50" s="120" t="n">
        <v>36770</v>
      </c>
      <c r="F50" s="120" t="n">
        <v>36830</v>
      </c>
      <c r="G50" s="118" t="inlineStr">
        <is>
          <t>Bear Creek</t>
        </is>
      </c>
      <c r="H50" s="118" t="n"/>
      <c r="I50" s="134" t="inlineStr">
        <is>
          <t>Stor</t>
        </is>
      </c>
      <c r="J50" s="157" t="n">
        <v>0.0248</v>
      </c>
      <c r="K50" s="158" t="n"/>
      <c r="L50" s="158" t="n"/>
      <c r="M50" s="158" t="n"/>
      <c r="N50" s="158" t="n"/>
      <c r="O50" s="159" t="n"/>
      <c r="P50" s="158" t="n"/>
      <c r="Q50" s="125" t="n">
        <v>34614</v>
      </c>
      <c r="R50" s="134" t="n">
        <v>146488</v>
      </c>
      <c r="S50" s="118" t="n"/>
      <c r="T50" s="126">
        <f>J50*R50</f>
        <v/>
      </c>
      <c r="U50" s="126" t="n"/>
      <c r="V50" s="127" t="n">
        <v>379889</v>
      </c>
      <c r="W50" s="118" t="n"/>
      <c r="X50" s="135" t="n"/>
      <c r="Y50" s="135" t="n"/>
    </row>
    <row r="51" customFormat="1" s="129">
      <c r="B51" s="118" t="inlineStr">
        <is>
          <t>ENA</t>
        </is>
      </c>
      <c r="C51" s="134" t="inlineStr">
        <is>
          <t>[Person_12]</t>
        </is>
      </c>
      <c r="D51" s="134" t="inlineStr">
        <is>
          <t>Atlanta</t>
        </is>
      </c>
      <c r="E51" s="120" t="n">
        <v>36770</v>
      </c>
      <c r="F51" s="120" t="n">
        <v>36830</v>
      </c>
      <c r="G51" s="118" t="inlineStr">
        <is>
          <t>Bear Creek</t>
        </is>
      </c>
      <c r="H51" s="118" t="n"/>
      <c r="I51" s="134" t="inlineStr">
        <is>
          <t>Stor</t>
        </is>
      </c>
      <c r="J51" s="157">
        <f>2.02/J1</f>
        <v/>
      </c>
      <c r="K51" s="158" t="n"/>
      <c r="L51" s="158" t="n"/>
      <c r="M51" s="158" t="n"/>
      <c r="N51" s="158" t="n"/>
      <c r="O51" s="159" t="n"/>
      <c r="P51" s="158" t="n"/>
      <c r="Q51" s="125" t="n">
        <v>34614</v>
      </c>
      <c r="R51" s="134" t="n">
        <v>979</v>
      </c>
      <c r="S51" s="118" t="n"/>
      <c r="T51" s="126">
        <f>J51*J$1*R51</f>
        <v/>
      </c>
      <c r="U51" s="126" t="n"/>
      <c r="V51" s="127" t="n">
        <v>379889</v>
      </c>
      <c r="W51" s="118" t="n"/>
      <c r="X51" s="135" t="n"/>
      <c r="Y51" s="135" t="n"/>
    </row>
    <row r="52" customFormat="1" s="129">
      <c r="B52" s="118" t="inlineStr">
        <is>
          <t>ENA</t>
        </is>
      </c>
      <c r="C52" s="134" t="inlineStr">
        <is>
          <t>[Person_12]</t>
        </is>
      </c>
      <c r="D52" s="134" t="inlineStr">
        <is>
          <t>Atlanta</t>
        </is>
      </c>
      <c r="E52" s="120" t="n">
        <v>36770</v>
      </c>
      <c r="F52" s="120" t="n">
        <v>36799</v>
      </c>
      <c r="G52" s="118" t="inlineStr">
        <is>
          <t>Bear Creek</t>
        </is>
      </c>
      <c r="H52" s="118" t="n"/>
      <c r="I52" s="134" t="inlineStr">
        <is>
          <t>Stor</t>
        </is>
      </c>
      <c r="J52" s="157" t="n">
        <v>0.0248</v>
      </c>
      <c r="K52" s="158" t="n"/>
      <c r="L52" s="158" t="n"/>
      <c r="M52" s="158" t="n"/>
      <c r="N52" s="158" t="n"/>
      <c r="O52" s="159" t="n"/>
      <c r="P52" s="158" t="n"/>
      <c r="Q52" s="125" t="n">
        <v>34736</v>
      </c>
      <c r="R52" s="134" t="n">
        <v>62780</v>
      </c>
      <c r="S52" s="118" t="n"/>
      <c r="T52" s="126">
        <f>J52*R52</f>
        <v/>
      </c>
      <c r="U52" s="126" t="n"/>
      <c r="V52" s="127" t="n">
        <v>387961</v>
      </c>
      <c r="W52" s="118" t="inlineStr">
        <is>
          <t>Released month to month</t>
        </is>
      </c>
      <c r="X52" s="135" t="n"/>
      <c r="Y52" s="135" t="n"/>
    </row>
    <row r="53" customFormat="1" s="129">
      <c r="B53" s="118" t="inlineStr">
        <is>
          <t>ENA</t>
        </is>
      </c>
      <c r="C53" s="134" t="inlineStr">
        <is>
          <t>[Person_12]</t>
        </is>
      </c>
      <c r="D53" s="134" t="inlineStr">
        <is>
          <t>Atlanta</t>
        </is>
      </c>
      <c r="E53" s="120" t="n">
        <v>36770</v>
      </c>
      <c r="F53" s="120" t="n">
        <v>36799</v>
      </c>
      <c r="G53" s="118" t="inlineStr">
        <is>
          <t>Bear Creek</t>
        </is>
      </c>
      <c r="H53" s="118" t="n"/>
      <c r="I53" s="134" t="inlineStr">
        <is>
          <t>Stor</t>
        </is>
      </c>
      <c r="J53" s="157">
        <f>2.02/J1</f>
        <v/>
      </c>
      <c r="K53" s="158" t="n"/>
      <c r="L53" s="158" t="n"/>
      <c r="M53" s="158" t="n"/>
      <c r="N53" s="158" t="n"/>
      <c r="O53" s="159" t="n"/>
      <c r="P53" s="158" t="n"/>
      <c r="Q53" s="125" t="n">
        <v>34736</v>
      </c>
      <c r="R53" s="134" t="n">
        <v>420</v>
      </c>
      <c r="S53" s="118" t="n"/>
      <c r="T53" s="126">
        <f>J53*J$1*R53</f>
        <v/>
      </c>
      <c r="U53" s="126" t="n"/>
      <c r="V53" s="127" t="n">
        <v>389761</v>
      </c>
      <c r="W53" s="118" t="inlineStr">
        <is>
          <t>Released month to month</t>
        </is>
      </c>
      <c r="X53" s="135" t="n"/>
      <c r="Y53" s="135" t="n"/>
    </row>
    <row r="54" customFormat="1" s="129">
      <c r="B54" s="118" t="inlineStr">
        <is>
          <t>ENA</t>
        </is>
      </c>
      <c r="C54" s="134" t="inlineStr">
        <is>
          <t>[Person_12]</t>
        </is>
      </c>
      <c r="D54" s="134" t="inlineStr">
        <is>
          <t>Atlanta</t>
        </is>
      </c>
      <c r="E54" s="120" t="n">
        <v>36770</v>
      </c>
      <c r="F54" s="120" t="n">
        <v>36799</v>
      </c>
      <c r="G54" s="118" t="inlineStr">
        <is>
          <t>Portland Storage</t>
        </is>
      </c>
      <c r="H54" s="118" t="n"/>
      <c r="I54" s="134" t="inlineStr">
        <is>
          <t>FS-MA</t>
        </is>
      </c>
      <c r="J54" s="157" t="n">
        <v>0.0187</v>
      </c>
      <c r="K54" s="158" t="n"/>
      <c r="L54" s="158" t="n"/>
      <c r="M54" s="158" t="n"/>
      <c r="N54" s="158" t="n"/>
      <c r="O54" s="159" t="n"/>
      <c r="P54" s="158" t="n"/>
      <c r="Q54" s="125" t="n">
        <v>34736</v>
      </c>
      <c r="R54" s="138" t="n">
        <v>22531</v>
      </c>
      <c r="S54" s="118" t="n"/>
      <c r="T54" s="126">
        <f>+R54*J54</f>
        <v/>
      </c>
      <c r="U54" s="126" t="n"/>
      <c r="V54" s="127" t="n">
        <v>387950</v>
      </c>
      <c r="W54" s="118" t="inlineStr">
        <is>
          <t>Released month to month</t>
        </is>
      </c>
      <c r="X54" s="135" t="n"/>
      <c r="Y54" s="135" t="n"/>
    </row>
    <row r="55" customFormat="1" s="129">
      <c r="B55" s="118" t="inlineStr">
        <is>
          <t>ENA</t>
        </is>
      </c>
      <c r="C55" s="134" t="inlineStr">
        <is>
          <t>[Person_12]</t>
        </is>
      </c>
      <c r="D55" s="134" t="inlineStr">
        <is>
          <t>Atlanta</t>
        </is>
      </c>
      <c r="E55" s="120" t="n">
        <v>36770</v>
      </c>
      <c r="F55" s="120" t="n">
        <v>36799</v>
      </c>
      <c r="G55" s="118" t="inlineStr">
        <is>
          <t>Portland Storage</t>
        </is>
      </c>
      <c r="H55" s="118" t="n"/>
      <c r="I55" s="134" t="inlineStr">
        <is>
          <t>FS-MA</t>
        </is>
      </c>
      <c r="J55" s="157" t="n">
        <v>1.17</v>
      </c>
      <c r="K55" s="158" t="n"/>
      <c r="L55" s="158" t="n"/>
      <c r="M55" s="158" t="n"/>
      <c r="N55" s="158" t="n"/>
      <c r="O55" s="159" t="n"/>
      <c r="P55" s="158" t="n"/>
      <c r="Q55" s="125" t="n">
        <v>34736</v>
      </c>
      <c r="R55" s="138" t="n">
        <v>167</v>
      </c>
      <c r="S55" s="118" t="n"/>
      <c r="T55" s="126">
        <f>+R55*J55</f>
        <v/>
      </c>
      <c r="U55" s="126" t="n"/>
      <c r="V55" s="127" t="n">
        <v>387950</v>
      </c>
      <c r="W55" s="118" t="inlineStr">
        <is>
          <t>Released month to month</t>
        </is>
      </c>
      <c r="X55" s="135" t="n"/>
      <c r="Y55" s="135" t="n"/>
    </row>
    <row r="56" customFormat="1" s="129">
      <c r="B56" s="118" t="inlineStr">
        <is>
          <t>ENA</t>
        </is>
      </c>
      <c r="C56" s="134" t="inlineStr">
        <is>
          <t>[Person_12]</t>
        </is>
      </c>
      <c r="D56" s="134" t="inlineStr">
        <is>
          <t>Atlanta</t>
        </is>
      </c>
      <c r="E56" s="120" t="n">
        <v>36770</v>
      </c>
      <c r="F56" s="120" t="n">
        <v>36830</v>
      </c>
      <c r="G56" s="118" t="inlineStr">
        <is>
          <t>Portland Storage</t>
        </is>
      </c>
      <c r="H56" s="118" t="n"/>
      <c r="I56" s="134" t="inlineStr">
        <is>
          <t>FS-MA</t>
        </is>
      </c>
      <c r="J56" s="157" t="n">
        <v>0.0187</v>
      </c>
      <c r="K56" s="158" t="n"/>
      <c r="L56" s="158" t="n"/>
      <c r="M56" s="158" t="n"/>
      <c r="N56" s="158" t="n"/>
      <c r="O56" s="159" t="n"/>
      <c r="P56" s="158" t="n"/>
      <c r="Q56" s="125" t="n">
        <v>34576</v>
      </c>
      <c r="R56" s="138" t="n">
        <v>52573</v>
      </c>
      <c r="S56" s="118" t="n"/>
      <c r="T56" s="126">
        <f>+R56*J56</f>
        <v/>
      </c>
      <c r="U56" s="126" t="n"/>
      <c r="V56" s="127" t="n">
        <v>379856</v>
      </c>
      <c r="W56" s="118" t="n"/>
      <c r="X56" s="135" t="n"/>
      <c r="Y56" s="135" t="n"/>
    </row>
    <row r="57" customFormat="1" s="129">
      <c r="B57" s="118" t="inlineStr">
        <is>
          <t>ENA</t>
        </is>
      </c>
      <c r="C57" s="134" t="inlineStr">
        <is>
          <t>[Person_12]</t>
        </is>
      </c>
      <c r="D57" s="134" t="inlineStr">
        <is>
          <t>Atlanta</t>
        </is>
      </c>
      <c r="E57" s="120" t="n">
        <v>36770</v>
      </c>
      <c r="F57" s="120" t="n">
        <v>36830</v>
      </c>
      <c r="G57" s="118" t="inlineStr">
        <is>
          <t>Portland Storage</t>
        </is>
      </c>
      <c r="H57" s="118" t="n"/>
      <c r="I57" s="134" t="inlineStr">
        <is>
          <t>FS-MA</t>
        </is>
      </c>
      <c r="J57" s="157" t="n">
        <v>1.17</v>
      </c>
      <c r="K57" s="158" t="n"/>
      <c r="L57" s="158" t="n"/>
      <c r="M57" s="158" t="n"/>
      <c r="N57" s="158" t="n"/>
      <c r="O57" s="159" t="n"/>
      <c r="P57" s="158" t="n"/>
      <c r="Q57" s="125" t="n">
        <v>34576</v>
      </c>
      <c r="R57" s="138" t="n">
        <v>389</v>
      </c>
      <c r="S57" s="118" t="n"/>
      <c r="T57" s="126">
        <f>+R57*J57</f>
        <v/>
      </c>
      <c r="U57" s="126" t="n"/>
      <c r="V57" s="127" t="n">
        <v>379856</v>
      </c>
      <c r="W57" s="118" t="n"/>
      <c r="X57" s="135" t="n"/>
      <c r="Y57" s="135" t="n"/>
    </row>
    <row r="58">
      <c r="B58" s="57" t="n"/>
      <c r="C58" s="40" t="n"/>
      <c r="D58" s="40" t="n"/>
      <c r="E58" s="109" t="n"/>
      <c r="F58" s="109" t="n"/>
      <c r="G58" s="57" t="n"/>
      <c r="H58" s="57" t="n"/>
      <c r="I58" s="40" t="n"/>
      <c r="J58" s="153" t="n"/>
      <c r="K58" s="151" t="n"/>
      <c r="L58" s="151" t="n"/>
      <c r="M58" s="151" t="n"/>
      <c r="N58" s="151" t="n"/>
      <c r="O58" s="152" t="n"/>
      <c r="P58" s="151" t="n"/>
      <c r="Q58" s="48" t="n"/>
      <c r="R58" s="49" t="n"/>
      <c r="S58" s="40" t="n"/>
      <c r="T58" s="28" t="n"/>
      <c r="U58" s="28" t="n"/>
      <c r="V58" s="55" t="n"/>
      <c r="W58" s="57" t="n"/>
      <c r="X58" s="137" t="n"/>
      <c r="Y58" s="137" t="n"/>
    </row>
    <row r="59">
      <c r="B59" s="57" t="n"/>
      <c r="C59" s="40" t="n"/>
      <c r="D59" s="40" t="n"/>
      <c r="E59" s="109" t="n"/>
      <c r="F59" s="109" t="n"/>
      <c r="G59" s="57" t="n"/>
      <c r="H59" s="57" t="n"/>
      <c r="I59" s="40" t="n"/>
      <c r="J59" s="153" t="n"/>
      <c r="K59" s="151" t="n"/>
      <c r="L59" s="151" t="n"/>
      <c r="M59" s="151" t="n"/>
      <c r="N59" s="151" t="n"/>
      <c r="O59" s="160" t="n"/>
      <c r="P59" s="151" t="n"/>
      <c r="Q59" s="48" t="n"/>
      <c r="R59" s="40" t="n"/>
      <c r="S59" s="40" t="n"/>
      <c r="T59" s="70">
        <f>SUM(T46:T58)</f>
        <v/>
      </c>
      <c r="W59" s="59" t="n"/>
      <c r="X59" s="37" t="n"/>
      <c r="Y59" s="37" t="n"/>
    </row>
    <row r="60">
      <c r="B60" s="16" t="inlineStr">
        <is>
          <t>buy/sell</t>
        </is>
      </c>
      <c r="C60" s="17" t="inlineStr">
        <is>
          <t>pipe</t>
        </is>
      </c>
      <c r="D60" s="17" t="inlineStr">
        <is>
          <t>customer</t>
        </is>
      </c>
      <c r="E60" s="18" t="inlineStr">
        <is>
          <t>dates</t>
        </is>
      </c>
      <c r="F60" s="18" t="n"/>
      <c r="G60" s="16" t="inlineStr">
        <is>
          <t>rec</t>
        </is>
      </c>
      <c r="H60" s="16" t="inlineStr">
        <is>
          <t>del</t>
        </is>
      </c>
      <c r="I60" s="17" t="inlineStr">
        <is>
          <t>Type</t>
        </is>
      </c>
      <c r="J60" s="155" t="inlineStr">
        <is>
          <t>dem</t>
        </is>
      </c>
      <c r="K60" s="17" t="inlineStr">
        <is>
          <t>com</t>
        </is>
      </c>
      <c r="L60" s="17" t="inlineStr">
        <is>
          <t>aca</t>
        </is>
      </c>
      <c r="M60" s="17" t="inlineStr">
        <is>
          <t>gri</t>
        </is>
      </c>
      <c r="N60" s="17" t="inlineStr">
        <is>
          <t>s/c</t>
        </is>
      </c>
      <c r="O60" s="156" t="inlineStr">
        <is>
          <t>fuel %</t>
        </is>
      </c>
      <c r="P60" s="17" t="inlineStr">
        <is>
          <t>total</t>
        </is>
      </c>
      <c r="Q60" s="20" t="inlineStr">
        <is>
          <t>New K#</t>
        </is>
      </c>
      <c r="R60" s="17" t="inlineStr">
        <is>
          <t>vol</t>
        </is>
      </c>
      <c r="S60" s="16" t="inlineStr">
        <is>
          <t>comment</t>
        </is>
      </c>
      <c r="T60" s="21" t="inlineStr">
        <is>
          <t>Est Demand</t>
        </is>
      </c>
      <c r="U60" s="21" t="inlineStr">
        <is>
          <t>Act Demand</t>
        </is>
      </c>
      <c r="V60" s="53" t="inlineStr">
        <is>
          <t>New Sitara</t>
        </is>
      </c>
      <c r="W60" s="58" t="n"/>
      <c r="X60" s="137" t="n"/>
      <c r="Y60" s="137" t="n"/>
    </row>
    <row r="61" ht="11.25" customHeight="1" s="50">
      <c r="B61" s="57" t="n"/>
      <c r="C61" s="40" t="inlineStr">
        <is>
          <t>Texas Eastern</t>
        </is>
      </c>
      <c r="D61" s="40" t="n"/>
      <c r="E61" s="109" t="n"/>
      <c r="F61" s="109" t="inlineStr">
        <is>
          <t>NO CONTACTS FOR RETAIL</t>
        </is>
      </c>
      <c r="G61" s="57" t="n"/>
      <c r="H61" s="57" t="n"/>
      <c r="I61" s="40" t="n"/>
      <c r="J61" s="153" t="n"/>
      <c r="K61" s="151" t="n"/>
      <c r="L61" s="151" t="n"/>
      <c r="M61" s="151" t="n"/>
      <c r="N61" s="151" t="n"/>
      <c r="O61" s="152" t="n"/>
      <c r="P61" s="151" t="n"/>
      <c r="Q61" s="48" t="n"/>
      <c r="R61" s="49" t="n"/>
      <c r="S61" s="40" t="n"/>
      <c r="T61" s="28" t="n"/>
      <c r="U61" s="28" t="n"/>
      <c r="V61" s="55" t="n"/>
      <c r="W61" s="57" t="n"/>
      <c r="X61" s="137" t="n"/>
      <c r="Y61" s="137" t="n"/>
    </row>
    <row r="62">
      <c r="B62" s="16" t="inlineStr">
        <is>
          <t>buy/sell</t>
        </is>
      </c>
      <c r="C62" s="17" t="inlineStr">
        <is>
          <t>pipe</t>
        </is>
      </c>
      <c r="D62" s="17" t="inlineStr">
        <is>
          <t>customer</t>
        </is>
      </c>
      <c r="E62" s="18" t="inlineStr">
        <is>
          <t>dates</t>
        </is>
      </c>
      <c r="F62" s="18" t="n"/>
      <c r="G62" s="16" t="inlineStr">
        <is>
          <t>rec</t>
        </is>
      </c>
      <c r="H62" s="16" t="inlineStr">
        <is>
          <t>del</t>
        </is>
      </c>
      <c r="I62" s="17" t="inlineStr">
        <is>
          <t>Type</t>
        </is>
      </c>
      <c r="J62" s="155" t="inlineStr">
        <is>
          <t>dem</t>
        </is>
      </c>
      <c r="K62" s="17" t="inlineStr">
        <is>
          <t>com</t>
        </is>
      </c>
      <c r="L62" s="17" t="inlineStr">
        <is>
          <t>aca</t>
        </is>
      </c>
      <c r="M62" s="17" t="inlineStr">
        <is>
          <t>gri</t>
        </is>
      </c>
      <c r="N62" s="17" t="inlineStr">
        <is>
          <t>s/c</t>
        </is>
      </c>
      <c r="O62" s="156" t="inlineStr">
        <is>
          <t>fuel %</t>
        </is>
      </c>
      <c r="P62" s="17" t="inlineStr">
        <is>
          <t>total</t>
        </is>
      </c>
      <c r="Q62" s="20" t="inlineStr">
        <is>
          <t>New K#</t>
        </is>
      </c>
      <c r="R62" s="17" t="inlineStr">
        <is>
          <t>vol</t>
        </is>
      </c>
      <c r="S62" s="16" t="inlineStr">
        <is>
          <t>comment</t>
        </is>
      </c>
      <c r="T62" s="21" t="inlineStr">
        <is>
          <t>Est Demand</t>
        </is>
      </c>
      <c r="U62" s="21" t="inlineStr">
        <is>
          <t>Act Demand</t>
        </is>
      </c>
      <c r="V62" s="53" t="inlineStr">
        <is>
          <t>New Sitara</t>
        </is>
      </c>
      <c r="W62" s="58">
        <f>+W12</f>
        <v/>
      </c>
      <c r="X62" s="137" t="n"/>
      <c r="Y62" s="137" t="n"/>
    </row>
    <row r="63" customFormat="1" s="112">
      <c r="B63" s="57" t="inlineStr">
        <is>
          <t>ENA</t>
        </is>
      </c>
      <c r="C63" s="40" t="inlineStr">
        <is>
          <t>Texas Gas</t>
        </is>
      </c>
      <c r="D63" s="40" t="inlineStr">
        <is>
          <t>Boston</t>
        </is>
      </c>
      <c r="E63" s="109" t="n">
        <v>36220</v>
      </c>
      <c r="F63" s="109" t="n">
        <v>36707</v>
      </c>
      <c r="G63" s="57" t="inlineStr">
        <is>
          <t>Zone SL</t>
        </is>
      </c>
      <c r="H63" s="57" t="inlineStr">
        <is>
          <t>1247 Lebanon CNG</t>
        </is>
      </c>
      <c r="I63" s="40" t="inlineStr">
        <is>
          <t>FT</t>
        </is>
      </c>
      <c r="J63" s="153" t="n">
        <v>0.3033</v>
      </c>
      <c r="K63" s="151" t="n">
        <v>0</v>
      </c>
      <c r="L63" s="151" t="n">
        <v>0.0022</v>
      </c>
      <c r="M63" s="151" t="n">
        <v>0</v>
      </c>
      <c r="N63" s="151" t="n">
        <v>0</v>
      </c>
      <c r="O63" s="152" t="n">
        <v>0</v>
      </c>
      <c r="P63" s="151">
        <f>SUM(J63:N63)</f>
        <v/>
      </c>
      <c r="Q63" s="48" t="inlineStr">
        <is>
          <t>T015955</t>
        </is>
      </c>
      <c r="R63" s="40" t="n">
        <v>0</v>
      </c>
      <c r="S63" s="57" t="inlineStr">
        <is>
          <t>ACTIVE #[PHONE_PREFIX]-0039</t>
        </is>
      </c>
      <c r="T63" s="28">
        <f>J63*J$1*R63</f>
        <v/>
      </c>
      <c r="U63" s="28" t="n"/>
      <c r="V63" s="55" t="n">
        <v>157260</v>
      </c>
      <c r="W63" s="57" t="inlineStr">
        <is>
          <t>Release ended 6/30/2000</t>
        </is>
      </c>
      <c r="X63" s="137" t="n"/>
      <c r="Y63" s="137" t="n"/>
    </row>
    <row r="64" customFormat="1" s="112">
      <c r="B64" s="57" t="inlineStr">
        <is>
          <t>ENA</t>
        </is>
      </c>
      <c r="C64" s="40" t="inlineStr">
        <is>
          <t>Texas Gas</t>
        </is>
      </c>
      <c r="D64" s="40" t="inlineStr">
        <is>
          <t>Boston</t>
        </is>
      </c>
      <c r="E64" s="109" t="n">
        <v>36220</v>
      </c>
      <c r="F64" s="109" t="n">
        <v>36707</v>
      </c>
      <c r="G64" s="57" t="inlineStr">
        <is>
          <t>Zone 1</t>
        </is>
      </c>
      <c r="H64" s="57" t="inlineStr">
        <is>
          <t>1247 Lebanon CNG</t>
        </is>
      </c>
      <c r="I64" s="40" t="inlineStr">
        <is>
          <t>FT</t>
        </is>
      </c>
      <c r="J64" s="153" t="n">
        <v>0.3033</v>
      </c>
      <c r="K64" s="151" t="n">
        <v>0</v>
      </c>
      <c r="L64" s="151" t="n">
        <v>0.0022</v>
      </c>
      <c r="M64" s="151" t="n">
        <v>0</v>
      </c>
      <c r="N64" s="151" t="n">
        <v>0</v>
      </c>
      <c r="O64" s="152" t="n">
        <v>0</v>
      </c>
      <c r="P64" s="151">
        <f>SUM(J64:N64)</f>
        <v/>
      </c>
      <c r="Q64" s="48" t="inlineStr">
        <is>
          <t>T015955</t>
        </is>
      </c>
      <c r="R64" s="40" t="n">
        <v>0</v>
      </c>
      <c r="S64" s="57" t="inlineStr">
        <is>
          <t>ACTIVE #[PHONE_PREFIX]-0039</t>
        </is>
      </c>
      <c r="T64" s="28">
        <f>J64*J$1*R64</f>
        <v/>
      </c>
      <c r="U64" s="28" t="n"/>
      <c r="V64" s="55" t="n">
        <v>157260</v>
      </c>
      <c r="W64" s="57" t="inlineStr">
        <is>
          <t>Release ended 6/30/2000</t>
        </is>
      </c>
      <c r="X64" s="137" t="n"/>
      <c r="Y64" s="137" t="n"/>
    </row>
    <row r="65">
      <c r="B65" s="57" t="n"/>
      <c r="C65" s="40" t="n"/>
      <c r="D65" s="40" t="n"/>
      <c r="E65" s="109" t="inlineStr">
        <is>
          <t> </t>
        </is>
      </c>
      <c r="F65" s="109" t="n"/>
      <c r="G65" s="57" t="n"/>
      <c r="H65" s="57" t="n"/>
      <c r="I65" s="40" t="n"/>
      <c r="J65" s="153" t="n"/>
      <c r="K65" s="151" t="n"/>
      <c r="L65" s="151" t="n"/>
      <c r="M65" s="151" t="n"/>
      <c r="N65" s="151" t="n"/>
      <c r="O65" s="152" t="n"/>
      <c r="P65" s="151" t="n"/>
      <c r="Q65" s="48" t="n"/>
      <c r="R65" s="49">
        <f>SUM(R63:R64)</f>
        <v/>
      </c>
      <c r="S65" s="40" t="n"/>
      <c r="T65" s="39">
        <f>SUM(T63:T64)</f>
        <v/>
      </c>
      <c r="U65" s="39" t="n"/>
      <c r="V65" s="56" t="n"/>
      <c r="W65" s="59" t="n"/>
      <c r="X65" s="137" t="n"/>
      <c r="Y65" s="137" t="n"/>
    </row>
    <row r="66" ht="11.25" customHeight="1" s="50">
      <c r="B66" s="16" t="inlineStr">
        <is>
          <t>buy/sell</t>
        </is>
      </c>
      <c r="C66" s="17" t="inlineStr">
        <is>
          <t>pipe</t>
        </is>
      </c>
      <c r="D66" s="17" t="inlineStr">
        <is>
          <t>customer</t>
        </is>
      </c>
      <c r="E66" s="18" t="inlineStr">
        <is>
          <t>dates</t>
        </is>
      </c>
      <c r="F66" s="18" t="n"/>
      <c r="G66" s="16" t="inlineStr">
        <is>
          <t>rec</t>
        </is>
      </c>
      <c r="H66" s="16" t="inlineStr">
        <is>
          <t>del</t>
        </is>
      </c>
      <c r="I66" s="17" t="inlineStr">
        <is>
          <t>Type</t>
        </is>
      </c>
      <c r="J66" s="155" t="inlineStr">
        <is>
          <t>dem</t>
        </is>
      </c>
      <c r="K66" s="17" t="inlineStr">
        <is>
          <t>com</t>
        </is>
      </c>
      <c r="L66" s="17" t="inlineStr">
        <is>
          <t>aca</t>
        </is>
      </c>
      <c r="M66" s="17" t="inlineStr">
        <is>
          <t>gri</t>
        </is>
      </c>
      <c r="N66" s="17" t="inlineStr">
        <is>
          <t>s/c</t>
        </is>
      </c>
      <c r="O66" s="156" t="inlineStr">
        <is>
          <t>fuel %</t>
        </is>
      </c>
      <c r="P66" s="17" t="inlineStr">
        <is>
          <t>total</t>
        </is>
      </c>
      <c r="Q66" s="20" t="inlineStr">
        <is>
          <t>New K#</t>
        </is>
      </c>
      <c r="R66" s="17" t="inlineStr">
        <is>
          <t>vol</t>
        </is>
      </c>
      <c r="S66" s="16" t="inlineStr">
        <is>
          <t>comment</t>
        </is>
      </c>
      <c r="T66" s="21" t="inlineStr">
        <is>
          <t>Est Demand</t>
        </is>
      </c>
      <c r="U66" s="21" t="inlineStr">
        <is>
          <t>Act Demand</t>
        </is>
      </c>
      <c r="V66" s="53" t="inlineStr">
        <is>
          <t>New Sitara</t>
        </is>
      </c>
      <c r="W66" s="58">
        <f>+#REF!</f>
        <v/>
      </c>
      <c r="X66" s="137" t="n"/>
      <c r="Y66" s="137" t="n"/>
    </row>
    <row r="67" customFormat="1" s="129">
      <c r="B67" s="118" t="inlineStr">
        <is>
          <t>ENA</t>
        </is>
      </c>
      <c r="C67" s="134" t="inlineStr">
        <is>
          <t>Transco</t>
        </is>
      </c>
      <c r="D67" s="134" t="inlineStr">
        <is>
          <t>Atlanta</t>
        </is>
      </c>
      <c r="E67" s="120" t="n">
        <v>36770</v>
      </c>
      <c r="F67" s="120" t="n">
        <v>37894</v>
      </c>
      <c r="G67" s="118" t="inlineStr">
        <is>
          <t>St 30</t>
        </is>
      </c>
      <c r="H67" s="121" t="inlineStr">
        <is>
          <t>6484 Atlanta</t>
        </is>
      </c>
      <c r="I67" s="134" t="inlineStr">
        <is>
          <t>FT -R</t>
        </is>
      </c>
      <c r="J67" s="157">
        <f>7.5654/J$1</f>
        <v/>
      </c>
      <c r="K67" s="158" t="n">
        <v>0</v>
      </c>
      <c r="L67" s="158" t="n">
        <v>0.0022</v>
      </c>
      <c r="M67" s="158" t="n">
        <v>0</v>
      </c>
      <c r="N67" s="158" t="n">
        <v>0</v>
      </c>
      <c r="O67" s="159" t="n">
        <v>0</v>
      </c>
      <c r="P67" s="158">
        <f>SUM(J67:N67)</f>
        <v/>
      </c>
      <c r="Q67" s="161" t="n">
        <v>3.6673</v>
      </c>
      <c r="R67" s="134" t="n">
        <v>764</v>
      </c>
      <c r="S67" s="118" t="inlineStr">
        <is>
          <t>#021351</t>
        </is>
      </c>
      <c r="T67" s="126">
        <f>J67*J$1*R67</f>
        <v/>
      </c>
      <c r="U67" s="126" t="n"/>
      <c r="V67" s="127" t="n">
        <v>375520</v>
      </c>
      <c r="W67" s="118" t="n"/>
      <c r="X67" s="135" t="n"/>
      <c r="Y67" s="135" t="n"/>
    </row>
    <row r="68" customFormat="1" s="129">
      <c r="B68" s="118" t="inlineStr">
        <is>
          <t>ENA</t>
        </is>
      </c>
      <c r="C68" s="134" t="inlineStr">
        <is>
          <t>Transco</t>
        </is>
      </c>
      <c r="D68" s="134" t="inlineStr">
        <is>
          <t>Atlanta</t>
        </is>
      </c>
      <c r="E68" s="120" t="n">
        <v>36770</v>
      </c>
      <c r="F68" s="120" t="n">
        <v>37894</v>
      </c>
      <c r="G68" s="118" t="inlineStr">
        <is>
          <t>St 45</t>
        </is>
      </c>
      <c r="H68" s="121" t="inlineStr">
        <is>
          <t>6484 Atlanta</t>
        </is>
      </c>
      <c r="I68" s="134" t="inlineStr">
        <is>
          <t>FT -R</t>
        </is>
      </c>
      <c r="J68" s="157">
        <f>+J67</f>
        <v/>
      </c>
      <c r="K68" s="158" t="n">
        <v>0</v>
      </c>
      <c r="L68" s="158" t="n">
        <v>0.0022</v>
      </c>
      <c r="M68" s="158" t="n">
        <v>0</v>
      </c>
      <c r="N68" s="158" t="n">
        <v>0</v>
      </c>
      <c r="O68" s="159" t="n">
        <v>0</v>
      </c>
      <c r="P68" s="158">
        <f>SUM(J68:N68)</f>
        <v/>
      </c>
      <c r="Q68" s="161">
        <f>+Q67</f>
        <v/>
      </c>
      <c r="R68" s="134" t="n">
        <v>1123</v>
      </c>
      <c r="S68" s="118">
        <f>+S67</f>
        <v/>
      </c>
      <c r="T68" s="126">
        <f>J68*J$1*R68</f>
        <v/>
      </c>
      <c r="U68" s="126" t="n"/>
      <c r="V68" s="127">
        <f>+V67</f>
        <v/>
      </c>
      <c r="W68" s="118" t="n"/>
      <c r="X68" s="135" t="n"/>
      <c r="Y68" s="135" t="n"/>
    </row>
    <row r="69" customFormat="1" s="129">
      <c r="B69" s="118" t="inlineStr">
        <is>
          <t>ENA</t>
        </is>
      </c>
      <c r="C69" s="134" t="inlineStr">
        <is>
          <t>Transco</t>
        </is>
      </c>
      <c r="D69" s="134" t="inlineStr">
        <is>
          <t>Atlanta</t>
        </is>
      </c>
      <c r="E69" s="120" t="n">
        <v>36770</v>
      </c>
      <c r="F69" s="120" t="n">
        <v>37894</v>
      </c>
      <c r="G69" s="118" t="inlineStr">
        <is>
          <t>Z3</t>
        </is>
      </c>
      <c r="H69" s="121" t="inlineStr">
        <is>
          <t>6484 Atlanta</t>
        </is>
      </c>
      <c r="I69" s="134" t="inlineStr">
        <is>
          <t>FT -R</t>
        </is>
      </c>
      <c r="J69" s="157">
        <f>+J68</f>
        <v/>
      </c>
      <c r="K69" s="158" t="n">
        <v>0</v>
      </c>
      <c r="L69" s="158" t="n">
        <v>0.0022</v>
      </c>
      <c r="M69" s="158" t="n">
        <v>0</v>
      </c>
      <c r="N69" s="158" t="n">
        <v>0</v>
      </c>
      <c r="O69" s="159" t="n">
        <v>0</v>
      </c>
      <c r="P69" s="158">
        <f>SUM(J69:N69)</f>
        <v/>
      </c>
      <c r="Q69" s="161">
        <f>+Q68</f>
        <v/>
      </c>
      <c r="R69" s="134">
        <f>853+1752</f>
        <v/>
      </c>
      <c r="S69" s="118">
        <f>+S68</f>
        <v/>
      </c>
      <c r="T69" s="126">
        <f>J69*J$1*R69</f>
        <v/>
      </c>
      <c r="U69" s="126" t="n"/>
      <c r="V69" s="127">
        <f>+V68</f>
        <v/>
      </c>
      <c r="W69" s="118" t="n"/>
      <c r="X69" s="135" t="n"/>
      <c r="Y69" s="135" t="n"/>
    </row>
    <row r="70" customFormat="1" s="129">
      <c r="B70" s="118" t="inlineStr">
        <is>
          <t>ENA</t>
        </is>
      </c>
      <c r="C70" s="134" t="inlineStr">
        <is>
          <t>Transco</t>
        </is>
      </c>
      <c r="D70" s="134" t="inlineStr">
        <is>
          <t>Atlanta</t>
        </is>
      </c>
      <c r="E70" s="120" t="n">
        <v>36770</v>
      </c>
      <c r="F70" s="120" t="n">
        <v>36799</v>
      </c>
      <c r="G70" s="118" t="inlineStr">
        <is>
          <t>St 30</t>
        </is>
      </c>
      <c r="H70" s="121" t="inlineStr">
        <is>
          <t>6484 Atlanta</t>
        </is>
      </c>
      <c r="I70" s="134" t="inlineStr">
        <is>
          <t>FT -R</t>
        </is>
      </c>
      <c r="J70" s="157">
        <f>7.5654/J$1</f>
        <v/>
      </c>
      <c r="K70" s="158" t="n">
        <v>0</v>
      </c>
      <c r="L70" s="158" t="n">
        <v>0.0022</v>
      </c>
      <c r="M70" s="158" t="n">
        <v>0</v>
      </c>
      <c r="N70" s="158" t="n">
        <v>0</v>
      </c>
      <c r="O70" s="159" t="n">
        <v>0</v>
      </c>
      <c r="P70" s="158">
        <f>SUM(J70:N70)</f>
        <v/>
      </c>
      <c r="Q70" s="161" t="n">
        <v>3.6752</v>
      </c>
      <c r="R70" s="134" t="n">
        <v>20</v>
      </c>
      <c r="S70" s="118" t="inlineStr">
        <is>
          <t>#021461</t>
        </is>
      </c>
      <c r="T70" s="126">
        <f>J70*J$1*R70</f>
        <v/>
      </c>
      <c r="U70" s="126" t="n"/>
      <c r="V70" s="127" t="n">
        <v>379552</v>
      </c>
      <c r="W70" s="118" t="n"/>
      <c r="X70" s="135" t="n"/>
      <c r="Y70" s="135" t="n"/>
    </row>
    <row r="71" customFormat="1" s="129">
      <c r="B71" s="118" t="inlineStr">
        <is>
          <t>ENA</t>
        </is>
      </c>
      <c r="C71" s="134" t="inlineStr">
        <is>
          <t>Transco</t>
        </is>
      </c>
      <c r="D71" s="134" t="inlineStr">
        <is>
          <t>Atlanta</t>
        </is>
      </c>
      <c r="E71" s="120" t="n">
        <v>36770</v>
      </c>
      <c r="F71" s="120" t="n">
        <v>36799</v>
      </c>
      <c r="G71" s="118" t="inlineStr">
        <is>
          <t>St 45</t>
        </is>
      </c>
      <c r="H71" s="121" t="inlineStr">
        <is>
          <t>6484 Atlanta</t>
        </is>
      </c>
      <c r="I71" s="134" t="inlineStr">
        <is>
          <t>FT -R</t>
        </is>
      </c>
      <c r="J71" s="157">
        <f>7.5654/J$1</f>
        <v/>
      </c>
      <c r="K71" s="158" t="n">
        <v>0</v>
      </c>
      <c r="L71" s="158" t="n">
        <v>0.0022</v>
      </c>
      <c r="M71" s="158" t="n">
        <v>0</v>
      </c>
      <c r="N71" s="158" t="n">
        <v>0</v>
      </c>
      <c r="O71" s="159" t="n">
        <v>0</v>
      </c>
      <c r="P71" s="158">
        <f>SUM(J71:N71)</f>
        <v/>
      </c>
      <c r="Q71" s="161">
        <f>+Q70</f>
        <v/>
      </c>
      <c r="R71" s="134" t="n">
        <v>29</v>
      </c>
      <c r="S71" s="118">
        <f>+S70</f>
        <v/>
      </c>
      <c r="T71" s="126">
        <f>J71*J$1*R71</f>
        <v/>
      </c>
      <c r="U71" s="126" t="n"/>
      <c r="V71" s="127" t="n">
        <v>375532</v>
      </c>
      <c r="W71" s="118" t="n"/>
      <c r="X71" s="135" t="n"/>
      <c r="Y71" s="135" t="n"/>
    </row>
    <row r="72" customFormat="1" s="129">
      <c r="B72" s="118" t="inlineStr">
        <is>
          <t>ENA</t>
        </is>
      </c>
      <c r="C72" s="134" t="inlineStr">
        <is>
          <t>Transco</t>
        </is>
      </c>
      <c r="D72" s="134" t="inlineStr">
        <is>
          <t>Atlanta</t>
        </is>
      </c>
      <c r="E72" s="120" t="n">
        <v>36770</v>
      </c>
      <c r="F72" s="120" t="n">
        <v>36799</v>
      </c>
      <c r="G72" s="118" t="inlineStr">
        <is>
          <t>Z3</t>
        </is>
      </c>
      <c r="H72" s="121" t="inlineStr">
        <is>
          <t>6484 Atlanta</t>
        </is>
      </c>
      <c r="I72" s="134" t="inlineStr">
        <is>
          <t>FT -R</t>
        </is>
      </c>
      <c r="J72" s="157">
        <f>7.5654/J$1</f>
        <v/>
      </c>
      <c r="K72" s="158" t="n">
        <v>0</v>
      </c>
      <c r="L72" s="158" t="n">
        <v>0.0022</v>
      </c>
      <c r="M72" s="158" t="n">
        <v>0</v>
      </c>
      <c r="N72" s="158" t="n">
        <v>0</v>
      </c>
      <c r="O72" s="159" t="n">
        <v>0</v>
      </c>
      <c r="P72" s="158">
        <f>SUM(J72:N72)</f>
        <v/>
      </c>
      <c r="Q72" s="161">
        <f>+Q71</f>
        <v/>
      </c>
      <c r="R72" s="134">
        <f>22+45</f>
        <v/>
      </c>
      <c r="S72" s="118">
        <f>+S71</f>
        <v/>
      </c>
      <c r="T72" s="126">
        <f>J72*J$1*R72</f>
        <v/>
      </c>
      <c r="U72" s="126" t="n"/>
      <c r="V72" s="127" t="n">
        <v>375532</v>
      </c>
      <c r="W72" s="118" t="n"/>
      <c r="X72" s="135" t="n"/>
      <c r="Y72" s="135" t="n"/>
    </row>
    <row r="73" customFormat="1" s="129">
      <c r="B73" s="118" t="inlineStr">
        <is>
          <t>ENA</t>
        </is>
      </c>
      <c r="C73" s="134" t="inlineStr">
        <is>
          <t>Transco</t>
        </is>
      </c>
      <c r="D73" s="134" t="inlineStr">
        <is>
          <t>Atlanta</t>
        </is>
      </c>
      <c r="E73" s="120" t="n">
        <v>36770</v>
      </c>
      <c r="F73" s="120" t="n">
        <v>37864</v>
      </c>
      <c r="G73" s="118" t="inlineStr">
        <is>
          <t>St 30</t>
        </is>
      </c>
      <c r="H73" s="121" t="inlineStr">
        <is>
          <t>6484 Atlanta</t>
        </is>
      </c>
      <c r="I73" s="134" t="inlineStr">
        <is>
          <t>FT -R</t>
        </is>
      </c>
      <c r="J73" s="157">
        <f>7.5654/J$1</f>
        <v/>
      </c>
      <c r="K73" s="158" t="n">
        <v>0</v>
      </c>
      <c r="L73" s="158" t="n">
        <v>0.0022</v>
      </c>
      <c r="M73" s="158" t="n">
        <v>0</v>
      </c>
      <c r="N73" s="158" t="n">
        <v>0</v>
      </c>
      <c r="O73" s="159" t="n">
        <v>0</v>
      </c>
      <c r="P73" s="158">
        <f>SUM(J73:N73)</f>
        <v/>
      </c>
      <c r="Q73" s="161" t="n">
        <v>3.6675</v>
      </c>
      <c r="R73" s="134" t="n">
        <v>46</v>
      </c>
      <c r="S73" s="118" t="inlineStr">
        <is>
          <t>#021349</t>
        </is>
      </c>
      <c r="T73" s="126">
        <f>J73*J$1*R73</f>
        <v/>
      </c>
      <c r="U73" s="126" t="n"/>
      <c r="V73" s="127" t="n">
        <v>375532</v>
      </c>
      <c r="W73" s="118" t="n"/>
      <c r="X73" s="135" t="n"/>
      <c r="Y73" s="135" t="n"/>
    </row>
    <row r="74" customFormat="1" s="129">
      <c r="B74" s="118" t="inlineStr">
        <is>
          <t>ENA</t>
        </is>
      </c>
      <c r="C74" s="134" t="inlineStr">
        <is>
          <t>Transco</t>
        </is>
      </c>
      <c r="D74" s="134" t="inlineStr">
        <is>
          <t>Atlanta</t>
        </is>
      </c>
      <c r="E74" s="120" t="n">
        <v>36770</v>
      </c>
      <c r="F74" s="120" t="n">
        <v>37864</v>
      </c>
      <c r="G74" s="118" t="inlineStr">
        <is>
          <t>St 45</t>
        </is>
      </c>
      <c r="H74" s="121" t="inlineStr">
        <is>
          <t>6484 Atlanta</t>
        </is>
      </c>
      <c r="I74" s="134" t="inlineStr">
        <is>
          <t>FT -R</t>
        </is>
      </c>
      <c r="J74" s="157">
        <f>7.5654/J$1</f>
        <v/>
      </c>
      <c r="K74" s="158" t="n">
        <v>0</v>
      </c>
      <c r="L74" s="158" t="n">
        <v>0.0022</v>
      </c>
      <c r="M74" s="158" t="n">
        <v>0</v>
      </c>
      <c r="N74" s="158" t="n">
        <v>0</v>
      </c>
      <c r="O74" s="159" t="n">
        <v>0</v>
      </c>
      <c r="P74" s="158">
        <f>SUM(J74:N74)</f>
        <v/>
      </c>
      <c r="Q74" s="161">
        <f>+Q73</f>
        <v/>
      </c>
      <c r="R74" s="134" t="n">
        <v>68</v>
      </c>
      <c r="S74" s="118">
        <f>+S73</f>
        <v/>
      </c>
      <c r="T74" s="126">
        <f>J74*J$1*R74</f>
        <v/>
      </c>
      <c r="U74" s="126" t="n"/>
      <c r="V74" s="127" t="n">
        <v>375532</v>
      </c>
      <c r="W74" s="118" t="n"/>
      <c r="X74" s="135" t="n"/>
      <c r="Y74" s="135" t="n"/>
    </row>
    <row r="75" customFormat="1" s="129">
      <c r="B75" s="118" t="inlineStr">
        <is>
          <t>ENA</t>
        </is>
      </c>
      <c r="C75" s="134" t="inlineStr">
        <is>
          <t>Transco</t>
        </is>
      </c>
      <c r="D75" s="134" t="inlineStr">
        <is>
          <t>Atlanta</t>
        </is>
      </c>
      <c r="E75" s="120" t="n">
        <v>36770</v>
      </c>
      <c r="F75" s="120" t="n">
        <v>37864</v>
      </c>
      <c r="G75" s="118" t="inlineStr">
        <is>
          <t>Z3</t>
        </is>
      </c>
      <c r="H75" s="121" t="inlineStr">
        <is>
          <t>6484 Atlanta</t>
        </is>
      </c>
      <c r="I75" s="134" t="inlineStr">
        <is>
          <t>FT -R</t>
        </is>
      </c>
      <c r="J75" s="157">
        <f>7.5654/J$1</f>
        <v/>
      </c>
      <c r="K75" s="158" t="n">
        <v>0</v>
      </c>
      <c r="L75" s="158" t="n">
        <v>0.0022</v>
      </c>
      <c r="M75" s="158" t="n">
        <v>0</v>
      </c>
      <c r="N75" s="158" t="n">
        <v>0</v>
      </c>
      <c r="O75" s="159" t="n">
        <v>0</v>
      </c>
      <c r="P75" s="158">
        <f>SUM(J75:N75)</f>
        <v/>
      </c>
      <c r="Q75" s="161">
        <f>+Q74</f>
        <v/>
      </c>
      <c r="R75" s="134">
        <f>51+105</f>
        <v/>
      </c>
      <c r="S75" s="118">
        <f>+S74</f>
        <v/>
      </c>
      <c r="T75" s="126">
        <f>J75*J$1*R75</f>
        <v/>
      </c>
      <c r="U75" s="126" t="n"/>
      <c r="V75" s="127" t="n">
        <v>375532</v>
      </c>
      <c r="W75" s="118" t="n"/>
      <c r="X75" s="135" t="n"/>
      <c r="Y75" s="135" t="n"/>
    </row>
    <row r="76" customFormat="1" s="129">
      <c r="B76" s="118" t="inlineStr">
        <is>
          <t>ENA</t>
        </is>
      </c>
      <c r="C76" s="134" t="inlineStr">
        <is>
          <t>Transco</t>
        </is>
      </c>
      <c r="D76" s="134" t="inlineStr">
        <is>
          <t>Atlanta</t>
        </is>
      </c>
      <c r="E76" s="120" t="n">
        <v>36770</v>
      </c>
      <c r="F76" s="120" t="n">
        <v>37864</v>
      </c>
      <c r="G76" s="118" t="inlineStr">
        <is>
          <t>6971 St 85</t>
        </is>
      </c>
      <c r="H76" s="121" t="inlineStr">
        <is>
          <t>6484 Atlanta</t>
        </is>
      </c>
      <c r="I76" s="134" t="inlineStr">
        <is>
          <t>FTCHR</t>
        </is>
      </c>
      <c r="J76" s="157">
        <f>14.1875/30</f>
        <v/>
      </c>
      <c r="K76" s="158" t="n">
        <v>0</v>
      </c>
      <c r="L76" s="158" t="n">
        <v>0.0022</v>
      </c>
      <c r="M76" s="158" t="n">
        <v>0</v>
      </c>
      <c r="N76" s="158" t="n">
        <v>0</v>
      </c>
      <c r="O76" s="159" t="n">
        <v>0</v>
      </c>
      <c r="P76" s="158">
        <f>SUM(J76:N76)</f>
        <v/>
      </c>
      <c r="Q76" s="135" t="n">
        <v>3.6674</v>
      </c>
      <c r="R76" s="134" t="n">
        <v>3575</v>
      </c>
      <c r="S76" s="118" t="inlineStr">
        <is>
          <t>#021350</t>
        </is>
      </c>
      <c r="T76" s="126">
        <f>J76*J$1*R76</f>
        <v/>
      </c>
      <c r="U76" s="126" t="n"/>
      <c r="V76" s="127" t="n">
        <v>375527</v>
      </c>
      <c r="W76" s="118" t="n"/>
      <c r="X76" s="135" t="n"/>
      <c r="Y76" s="135" t="n"/>
    </row>
    <row r="77" customFormat="1" s="129">
      <c r="B77" s="118" t="inlineStr">
        <is>
          <t>ENA</t>
        </is>
      </c>
      <c r="C77" s="134" t="inlineStr">
        <is>
          <t>Transco</t>
        </is>
      </c>
      <c r="D77" s="134" t="inlineStr">
        <is>
          <t>Atlanta</t>
        </is>
      </c>
      <c r="E77" s="120" t="n">
        <v>36770</v>
      </c>
      <c r="F77" s="120" t="n">
        <v>36799</v>
      </c>
      <c r="G77" s="118" t="inlineStr">
        <is>
          <t>6971 St 85</t>
        </is>
      </c>
      <c r="H77" s="121" t="inlineStr">
        <is>
          <t>6484 Atlanta</t>
        </is>
      </c>
      <c r="I77" s="134" t="inlineStr">
        <is>
          <t>FTCHR</t>
        </is>
      </c>
      <c r="J77" s="157">
        <f>14.1875/30</f>
        <v/>
      </c>
      <c r="K77" s="158" t="n">
        <v>0</v>
      </c>
      <c r="L77" s="158" t="n">
        <v>0.0022</v>
      </c>
      <c r="M77" s="158" t="n">
        <v>0</v>
      </c>
      <c r="N77" s="158" t="n">
        <v>0</v>
      </c>
      <c r="O77" s="159" t="n">
        <v>0</v>
      </c>
      <c r="P77" s="158">
        <f>SUM(J77:N77)</f>
        <v/>
      </c>
      <c r="Q77" s="135" t="n">
        <v>3.6751</v>
      </c>
      <c r="R77" s="134" t="n">
        <v>3575</v>
      </c>
      <c r="S77" s="118" t="inlineStr">
        <is>
          <t>#021462</t>
        </is>
      </c>
      <c r="T77" s="126">
        <f>J77*J$1*R77</f>
        <v/>
      </c>
      <c r="U77" s="126" t="n"/>
      <c r="V77" s="127" t="n">
        <v>379349</v>
      </c>
      <c r="W77" s="118" t="n"/>
      <c r="X77" s="135" t="n"/>
      <c r="Y77" s="135" t="n"/>
    </row>
    <row r="78" customFormat="1" s="129">
      <c r="B78" s="118" t="inlineStr">
        <is>
          <t>ENA</t>
        </is>
      </c>
      <c r="C78" s="134" t="inlineStr">
        <is>
          <t>Transco</t>
        </is>
      </c>
      <c r="D78" s="134" t="inlineStr">
        <is>
          <t>Atlanta</t>
        </is>
      </c>
      <c r="E78" s="120" t="n">
        <v>36770</v>
      </c>
      <c r="F78" s="120" t="n">
        <v>36799</v>
      </c>
      <c r="G78" s="118" t="inlineStr">
        <is>
          <t>St 30</t>
        </is>
      </c>
      <c r="H78" s="121" t="inlineStr">
        <is>
          <t>6484 Atlanta</t>
        </is>
      </c>
      <c r="I78" s="134" t="inlineStr">
        <is>
          <t>FT -R</t>
        </is>
      </c>
      <c r="J78" s="157">
        <f>7.5654/J$1</f>
        <v/>
      </c>
      <c r="K78" s="158" t="n">
        <v>0</v>
      </c>
      <c r="L78" s="158" t="n">
        <v>0.0022</v>
      </c>
      <c r="M78" s="158" t="n">
        <v>0</v>
      </c>
      <c r="N78" s="158" t="n">
        <v>0</v>
      </c>
      <c r="O78" s="159" t="n">
        <v>0</v>
      </c>
      <c r="P78" s="158">
        <f>SUM(J78:N78)</f>
        <v/>
      </c>
      <c r="Q78" s="161" t="n">
        <v>3.675</v>
      </c>
      <c r="R78" s="134" t="n">
        <v>327</v>
      </c>
      <c r="S78" s="118" t="inlineStr">
        <is>
          <t>#021463</t>
        </is>
      </c>
      <c r="T78" s="126">
        <f>J78*J$1*R78</f>
        <v/>
      </c>
      <c r="U78" s="126" t="n"/>
      <c r="V78" s="127" t="n">
        <v>379308</v>
      </c>
      <c r="W78" s="118" t="n"/>
      <c r="X78" s="135" t="n"/>
      <c r="Y78" s="135" t="n"/>
    </row>
    <row r="79" customFormat="1" s="129">
      <c r="B79" s="118" t="inlineStr">
        <is>
          <t>ENA</t>
        </is>
      </c>
      <c r="C79" s="134" t="inlineStr">
        <is>
          <t>Transco</t>
        </is>
      </c>
      <c r="D79" s="134" t="inlineStr">
        <is>
          <t>Atlanta</t>
        </is>
      </c>
      <c r="E79" s="120" t="n">
        <v>36770</v>
      </c>
      <c r="F79" s="120" t="n">
        <v>36799</v>
      </c>
      <c r="G79" s="118" t="inlineStr">
        <is>
          <t>St 45</t>
        </is>
      </c>
      <c r="H79" s="121" t="inlineStr">
        <is>
          <t>6484 Atlanta</t>
        </is>
      </c>
      <c r="I79" s="134" t="inlineStr">
        <is>
          <t>FT -R</t>
        </is>
      </c>
      <c r="J79" s="157">
        <f>7.5654/J$1</f>
        <v/>
      </c>
      <c r="K79" s="158" t="n">
        <v>0</v>
      </c>
      <c r="L79" s="158" t="n">
        <v>0.0022</v>
      </c>
      <c r="M79" s="158" t="n">
        <v>0</v>
      </c>
      <c r="N79" s="158" t="n">
        <v>0</v>
      </c>
      <c r="O79" s="159" t="n">
        <v>0</v>
      </c>
      <c r="P79" s="158">
        <f>SUM(J79:N79)</f>
        <v/>
      </c>
      <c r="Q79" s="161">
        <f>+Q78</f>
        <v/>
      </c>
      <c r="R79" s="134" t="n">
        <v>481</v>
      </c>
      <c r="S79" s="118">
        <f>+S78</f>
        <v/>
      </c>
      <c r="T79" s="126">
        <f>J79*J$1*R79</f>
        <v/>
      </c>
      <c r="U79" s="126" t="n"/>
      <c r="V79" s="127">
        <f>+V78</f>
        <v/>
      </c>
      <c r="W79" s="118" t="n"/>
      <c r="X79" s="135" t="n"/>
      <c r="Y79" s="135" t="n"/>
    </row>
    <row r="80" customFormat="1" s="129">
      <c r="B80" s="118" t="inlineStr">
        <is>
          <t>ENA</t>
        </is>
      </c>
      <c r="C80" s="134" t="inlineStr">
        <is>
          <t>Transco</t>
        </is>
      </c>
      <c r="D80" s="134" t="inlineStr">
        <is>
          <t>Atlanta</t>
        </is>
      </c>
      <c r="E80" s="120" t="n">
        <v>36770</v>
      </c>
      <c r="F80" s="120" t="n">
        <v>36799</v>
      </c>
      <c r="G80" s="118" t="inlineStr">
        <is>
          <t>Z3</t>
        </is>
      </c>
      <c r="H80" s="121" t="inlineStr">
        <is>
          <t>6484 Atlanta</t>
        </is>
      </c>
      <c r="I80" s="134" t="inlineStr">
        <is>
          <t>FT -R</t>
        </is>
      </c>
      <c r="J80" s="157">
        <f>7.5654/J$1</f>
        <v/>
      </c>
      <c r="K80" s="158" t="n">
        <v>0</v>
      </c>
      <c r="L80" s="158" t="n">
        <v>0.0022</v>
      </c>
      <c r="M80" s="158" t="n">
        <v>0</v>
      </c>
      <c r="N80" s="158" t="n">
        <v>0</v>
      </c>
      <c r="O80" s="159" t="n">
        <v>0</v>
      </c>
      <c r="P80" s="158">
        <f>SUM(J80:N80)</f>
        <v/>
      </c>
      <c r="Q80" s="161">
        <f>+Q79</f>
        <v/>
      </c>
      <c r="R80" s="134">
        <f>366+751</f>
        <v/>
      </c>
      <c r="S80" s="118">
        <f>+S79</f>
        <v/>
      </c>
      <c r="T80" s="126">
        <f>J80*J$1*R80</f>
        <v/>
      </c>
      <c r="U80" s="126" t="n"/>
      <c r="V80" s="127">
        <f>+V79</f>
        <v/>
      </c>
      <c r="W80" s="118" t="n"/>
      <c r="X80" s="135" t="n"/>
      <c r="Y80" s="135" t="n"/>
    </row>
    <row r="81" customFormat="1" s="129">
      <c r="B81" s="118" t="inlineStr">
        <is>
          <t>ENA</t>
        </is>
      </c>
      <c r="C81" s="134" t="inlineStr">
        <is>
          <t>Transco</t>
        </is>
      </c>
      <c r="D81" s="134" t="inlineStr">
        <is>
          <t>Atlanta</t>
        </is>
      </c>
      <c r="E81" s="120" t="n">
        <v>36770</v>
      </c>
      <c r="F81" s="120" t="n">
        <v>36799</v>
      </c>
      <c r="G81" s="118" t="inlineStr">
        <is>
          <t>WSR Capacity</t>
        </is>
      </c>
      <c r="H81" s="121" t="n"/>
      <c r="I81" s="134" t="inlineStr">
        <is>
          <t>WSR</t>
        </is>
      </c>
      <c r="J81" s="157" t="n">
        <v>0.007900000000000001</v>
      </c>
      <c r="K81" s="158" t="n">
        <v>0</v>
      </c>
      <c r="L81" s="158" t="n">
        <v>0.0022</v>
      </c>
      <c r="M81" s="158" t="n">
        <v>0</v>
      </c>
      <c r="N81" s="158" t="n">
        <v>0</v>
      </c>
      <c r="O81" s="159" t="n">
        <v>0</v>
      </c>
      <c r="P81" s="158">
        <f>SUM(J81:N81)</f>
        <v/>
      </c>
      <c r="Q81" s="136" t="n"/>
      <c r="R81" s="134" t="n">
        <v>5687</v>
      </c>
      <c r="S81" s="118" t="inlineStr">
        <is>
          <t>#021484</t>
        </is>
      </c>
      <c r="T81" s="131">
        <f>+R81*J81</f>
        <v/>
      </c>
      <c r="U81" s="126" t="n"/>
      <c r="V81" s="127" t="n">
        <v>384211</v>
      </c>
      <c r="W81" s="118" t="n"/>
      <c r="X81" s="135" t="n"/>
      <c r="Y81" s="135" t="n"/>
    </row>
    <row r="82" customFormat="1" s="129">
      <c r="B82" s="118" t="inlineStr">
        <is>
          <t>ENA</t>
        </is>
      </c>
      <c r="C82" s="134" t="inlineStr">
        <is>
          <t>Transco</t>
        </is>
      </c>
      <c r="D82" s="134" t="inlineStr">
        <is>
          <t>Atlanta</t>
        </is>
      </c>
      <c r="E82" s="120" t="n">
        <v>36770</v>
      </c>
      <c r="F82" s="120" t="n">
        <v>36799</v>
      </c>
      <c r="G82" s="118" t="inlineStr">
        <is>
          <t>WSR Demand</t>
        </is>
      </c>
      <c r="H82" s="121" t="n"/>
      <c r="I82" s="134" t="inlineStr">
        <is>
          <t>WSR</t>
        </is>
      </c>
      <c r="J82" s="157" t="n">
        <v>0.6673</v>
      </c>
      <c r="K82" s="158" t="n">
        <v>0</v>
      </c>
      <c r="L82" s="158" t="n">
        <v>0.0022</v>
      </c>
      <c r="M82" s="158" t="n">
        <v>0</v>
      </c>
      <c r="N82" s="158" t="n">
        <v>0</v>
      </c>
      <c r="O82" s="159" t="n">
        <v>0</v>
      </c>
      <c r="P82" s="158">
        <f>SUM(J82:N82)</f>
        <v/>
      </c>
      <c r="Q82" s="136" t="n"/>
      <c r="R82" s="134" t="n">
        <v>565</v>
      </c>
      <c r="S82" s="118" t="inlineStr">
        <is>
          <t>#021484</t>
        </is>
      </c>
      <c r="T82" s="131">
        <f>+R82*J82</f>
        <v/>
      </c>
      <c r="U82" s="126" t="n"/>
      <c r="V82" s="127" t="n">
        <v>384211</v>
      </c>
      <c r="W82" s="118" t="n"/>
      <c r="X82" s="135" t="n"/>
      <c r="Y82" s="135" t="n"/>
    </row>
    <row r="83" customFormat="1" s="129">
      <c r="B83" s="118" t="inlineStr">
        <is>
          <t>ENA</t>
        </is>
      </c>
      <c r="C83" s="134" t="inlineStr">
        <is>
          <t>Transco</t>
        </is>
      </c>
      <c r="D83" s="134" t="inlineStr">
        <is>
          <t>Atlanta</t>
        </is>
      </c>
      <c r="E83" s="120" t="n">
        <v>36770</v>
      </c>
      <c r="F83" s="120" t="n">
        <v>37864</v>
      </c>
      <c r="G83" s="118" t="inlineStr">
        <is>
          <t>WSR Capacity</t>
        </is>
      </c>
      <c r="H83" s="121" t="n"/>
      <c r="I83" s="134" t="inlineStr">
        <is>
          <t>WSR</t>
        </is>
      </c>
      <c r="J83" s="157" t="n">
        <v>0.007900000000000001</v>
      </c>
      <c r="K83" s="158" t="n">
        <v>0</v>
      </c>
      <c r="L83" s="158" t="n">
        <v>0.0022</v>
      </c>
      <c r="M83" s="158" t="n">
        <v>0</v>
      </c>
      <c r="N83" s="158" t="n">
        <v>0</v>
      </c>
      <c r="O83" s="159" t="n">
        <v>0</v>
      </c>
      <c r="P83" s="158">
        <f>SUM(J83:N83)</f>
        <v/>
      </c>
      <c r="Q83" s="161" t="n">
        <v>3.6686</v>
      </c>
      <c r="R83" s="134" t="n">
        <v>261182</v>
      </c>
      <c r="S83" s="118" t="inlineStr">
        <is>
          <t>#021378</t>
        </is>
      </c>
      <c r="T83" s="131">
        <f>+R83*J83</f>
        <v/>
      </c>
      <c r="U83" s="126" t="n"/>
      <c r="V83" s="127" t="n">
        <v>377146</v>
      </c>
      <c r="W83" s="118" t="n"/>
      <c r="X83" s="135" t="n"/>
      <c r="Y83" s="135" t="n"/>
    </row>
    <row r="84" customFormat="1" s="129">
      <c r="B84" s="118" t="inlineStr">
        <is>
          <t>ENA</t>
        </is>
      </c>
      <c r="C84" s="134" t="inlineStr">
        <is>
          <t>Transco</t>
        </is>
      </c>
      <c r="D84" s="134" t="inlineStr">
        <is>
          <t>Atlanta</t>
        </is>
      </c>
      <c r="E84" s="120" t="n">
        <v>36770</v>
      </c>
      <c r="F84" s="120" t="n">
        <v>37864</v>
      </c>
      <c r="G84" s="118" t="inlineStr">
        <is>
          <t>WSR Demand</t>
        </is>
      </c>
      <c r="H84" s="121" t="n"/>
      <c r="I84" s="134" t="inlineStr">
        <is>
          <t>WSR</t>
        </is>
      </c>
      <c r="J84" s="157" t="n">
        <v>0.6673</v>
      </c>
      <c r="K84" s="158" t="n">
        <v>0</v>
      </c>
      <c r="L84" s="158" t="n">
        <v>0.0022</v>
      </c>
      <c r="M84" s="158" t="n">
        <v>0</v>
      </c>
      <c r="N84" s="158" t="n">
        <v>0</v>
      </c>
      <c r="O84" s="159" t="n">
        <v>0</v>
      </c>
      <c r="P84" s="158">
        <f>SUM(J84:N84)</f>
        <v/>
      </c>
      <c r="Q84" s="161" t="n">
        <v>3.6686</v>
      </c>
      <c r="R84" s="134" t="n">
        <v>3073</v>
      </c>
      <c r="S84" s="118" t="inlineStr">
        <is>
          <t>#021378</t>
        </is>
      </c>
      <c r="T84" s="131">
        <f>+R84*J84</f>
        <v/>
      </c>
      <c r="U84" s="126" t="n"/>
      <c r="V84" s="127" t="n">
        <v>377146</v>
      </c>
      <c r="W84" s="118" t="n"/>
      <c r="X84" s="135" t="n"/>
      <c r="Y84" s="135" t="n"/>
    </row>
    <row r="85" customFormat="1" s="129">
      <c r="B85" s="118" t="inlineStr">
        <is>
          <t>ENA</t>
        </is>
      </c>
      <c r="C85" s="134" t="inlineStr">
        <is>
          <t>Transco</t>
        </is>
      </c>
      <c r="D85" s="134" t="inlineStr">
        <is>
          <t>Atlanta</t>
        </is>
      </c>
      <c r="E85" s="120" t="n">
        <v>36770</v>
      </c>
      <c r="F85" s="120" t="inlineStr">
        <is>
          <t>9/31/2003</t>
        </is>
      </c>
      <c r="G85" s="118" t="inlineStr">
        <is>
          <t>ESR Capacity</t>
        </is>
      </c>
      <c r="H85" s="121" t="n"/>
      <c r="I85" s="134" t="inlineStr">
        <is>
          <t>ESR</t>
        </is>
      </c>
      <c r="J85" s="157" t="n">
        <v>0.0481</v>
      </c>
      <c r="K85" s="158" t="n">
        <v>0</v>
      </c>
      <c r="L85" s="158" t="n">
        <v>0.0022</v>
      </c>
      <c r="M85" s="158" t="n">
        <v>0</v>
      </c>
      <c r="N85" s="158" t="n">
        <v>0</v>
      </c>
      <c r="O85" s="159" t="n">
        <v>0</v>
      </c>
      <c r="P85" s="158">
        <f>SUM(J85:N85)</f>
        <v/>
      </c>
      <c r="Q85" s="135" t="n">
        <v>3.6685</v>
      </c>
      <c r="R85" s="134" t="n">
        <v>13269</v>
      </c>
      <c r="S85" s="118" t="inlineStr">
        <is>
          <t>#021377</t>
        </is>
      </c>
      <c r="T85" s="131">
        <f>+J85*R85</f>
        <v/>
      </c>
      <c r="U85" s="126" t="n"/>
      <c r="V85" s="127" t="n">
        <v>377157</v>
      </c>
      <c r="W85" s="118" t="n"/>
      <c r="X85" s="135" t="n"/>
      <c r="Y85" s="135" t="n"/>
    </row>
    <row r="86" customFormat="1" s="129">
      <c r="B86" s="118" t="inlineStr">
        <is>
          <t>ENA</t>
        </is>
      </c>
      <c r="C86" s="134" t="inlineStr">
        <is>
          <t>Transco</t>
        </is>
      </c>
      <c r="D86" s="134" t="inlineStr">
        <is>
          <t>Atlanta</t>
        </is>
      </c>
      <c r="E86" s="120" t="n">
        <v>36770</v>
      </c>
      <c r="F86" s="120" t="inlineStr">
        <is>
          <t>9/31/2003</t>
        </is>
      </c>
      <c r="G86" s="118" t="inlineStr">
        <is>
          <t>ESR Demand</t>
        </is>
      </c>
      <c r="H86" s="121" t="n"/>
      <c r="I86" s="134" t="inlineStr">
        <is>
          <t>ESR</t>
        </is>
      </c>
      <c r="J86" s="157" t="n">
        <v>0.484</v>
      </c>
      <c r="K86" s="158" t="n">
        <v>0</v>
      </c>
      <c r="L86" s="158" t="n">
        <v>0.0022</v>
      </c>
      <c r="M86" s="158" t="n">
        <v>0</v>
      </c>
      <c r="N86" s="158" t="n">
        <v>0</v>
      </c>
      <c r="O86" s="159" t="n">
        <v>0</v>
      </c>
      <c r="P86" s="158">
        <f>SUM(J86:N86)</f>
        <v/>
      </c>
      <c r="Q86" s="135" t="n">
        <v>3.6685</v>
      </c>
      <c r="R86" s="134" t="n">
        <v>1319</v>
      </c>
      <c r="S86" s="118" t="inlineStr">
        <is>
          <t>#021377</t>
        </is>
      </c>
      <c r="T86" s="131">
        <f>+J86*R86</f>
        <v/>
      </c>
      <c r="U86" s="126" t="n"/>
      <c r="V86" s="127" t="n">
        <v>377157</v>
      </c>
      <c r="W86" s="118" t="n"/>
      <c r="X86" s="135" t="n"/>
      <c r="Y86" s="135" t="n"/>
    </row>
    <row r="87" customFormat="1" s="112">
      <c r="B87" s="57" t="inlineStr">
        <is>
          <t>ENA</t>
        </is>
      </c>
      <c r="C87" s="40" t="inlineStr">
        <is>
          <t>Transco</t>
        </is>
      </c>
      <c r="D87" s="40" t="inlineStr">
        <is>
          <t>Atlanta</t>
        </is>
      </c>
      <c r="E87" s="109" t="n">
        <v>36739</v>
      </c>
      <c r="F87" s="109" t="n">
        <v>36769</v>
      </c>
      <c r="G87" s="57" t="inlineStr">
        <is>
          <t>ESR Capacity</t>
        </is>
      </c>
      <c r="H87" s="59" t="n"/>
      <c r="I87" s="40" t="inlineStr">
        <is>
          <t>ESR</t>
        </is>
      </c>
      <c r="J87" s="153" t="n">
        <v>0.0481</v>
      </c>
      <c r="K87" s="151" t="n">
        <v>0</v>
      </c>
      <c r="L87" s="151" t="n">
        <v>0.0022</v>
      </c>
      <c r="M87" s="151" t="n">
        <v>0</v>
      </c>
      <c r="N87" s="151" t="n">
        <v>0</v>
      </c>
      <c r="O87" s="152" t="n">
        <v>0</v>
      </c>
      <c r="P87" s="151">
        <f>SUM(J87:N87)</f>
        <v/>
      </c>
      <c r="Q87" s="137" t="n"/>
      <c r="R87" s="40" t="n">
        <v>18997</v>
      </c>
      <c r="S87" s="57" t="inlineStr">
        <is>
          <t>#020933</t>
        </is>
      </c>
      <c r="T87" s="107">
        <f>+J87*R87</f>
        <v/>
      </c>
      <c r="U87" s="28" t="n"/>
      <c r="V87" s="55" t="n">
        <v>345192</v>
      </c>
      <c r="W87" s="57" t="n"/>
      <c r="X87" s="137" t="n"/>
      <c r="Y87" s="137" t="n"/>
    </row>
    <row r="88" customFormat="1" s="112">
      <c r="B88" s="57" t="inlineStr">
        <is>
          <t>ENA</t>
        </is>
      </c>
      <c r="C88" s="40" t="inlineStr">
        <is>
          <t>Transco</t>
        </is>
      </c>
      <c r="D88" s="40" t="inlineStr">
        <is>
          <t>Atlanta</t>
        </is>
      </c>
      <c r="E88" s="109" t="n">
        <v>36739</v>
      </c>
      <c r="F88" s="109" t="n">
        <v>36769</v>
      </c>
      <c r="G88" s="57" t="inlineStr">
        <is>
          <t>ESR Demand</t>
        </is>
      </c>
      <c r="H88" s="59" t="n"/>
      <c r="I88" s="40" t="inlineStr">
        <is>
          <t>ESR</t>
        </is>
      </c>
      <c r="J88" s="153" t="n">
        <v>0.484</v>
      </c>
      <c r="K88" s="151" t="n">
        <v>0</v>
      </c>
      <c r="L88" s="151" t="n">
        <v>0.0022</v>
      </c>
      <c r="M88" s="151" t="n">
        <v>0</v>
      </c>
      <c r="N88" s="151" t="n">
        <v>0</v>
      </c>
      <c r="O88" s="152" t="n">
        <v>0</v>
      </c>
      <c r="P88" s="151">
        <f>SUM(J88:N88)</f>
        <v/>
      </c>
      <c r="Q88" s="137" t="n"/>
      <c r="R88" s="40" t="n">
        <v>1888</v>
      </c>
      <c r="S88" s="57" t="inlineStr">
        <is>
          <t>#20933</t>
        </is>
      </c>
      <c r="T88" s="107">
        <f>+J88*R88</f>
        <v/>
      </c>
      <c r="U88" s="28" t="n"/>
      <c r="V88" s="55" t="n">
        <v>345192</v>
      </c>
      <c r="W88" s="57" t="n"/>
      <c r="X88" s="137" t="n"/>
      <c r="Y88" s="137" t="n"/>
    </row>
    <row r="89">
      <c r="B89" s="60" t="n"/>
      <c r="C89" s="40" t="n"/>
      <c r="D89" s="40" t="n"/>
      <c r="E89" s="109" t="n"/>
      <c r="F89" s="109" t="n"/>
      <c r="G89" s="57" t="n"/>
      <c r="H89" s="57" t="n"/>
      <c r="I89" s="40" t="n"/>
      <c r="J89" s="153" t="n"/>
      <c r="K89" s="151" t="n"/>
      <c r="L89" s="151" t="n"/>
      <c r="M89" s="151" t="n"/>
      <c r="N89" s="151" t="n"/>
      <c r="O89" s="152" t="n"/>
      <c r="P89" s="151" t="n"/>
      <c r="Q89" s="48" t="n"/>
      <c r="R89" s="49" t="n"/>
      <c r="S89" s="28" t="n"/>
      <c r="T89" s="28">
        <f>SUM(T67:T88)</f>
        <v/>
      </c>
      <c r="U89" s="28" t="n"/>
      <c r="V89" s="55" t="n"/>
      <c r="W89" s="57" t="n"/>
      <c r="X89" s="137" t="n"/>
      <c r="Y89" s="137" t="n"/>
    </row>
    <row r="90">
      <c r="B90" s="60" t="n"/>
      <c r="C90" s="40" t="n"/>
      <c r="D90" s="40" t="n"/>
      <c r="E90" s="109" t="n"/>
      <c r="F90" s="109" t="n"/>
      <c r="G90" s="57" t="n"/>
      <c r="H90" s="57" t="n"/>
      <c r="I90" s="40" t="n"/>
      <c r="J90" s="151" t="n"/>
      <c r="K90" s="151" t="n"/>
      <c r="L90" s="151" t="n"/>
      <c r="M90" s="151" t="n"/>
      <c r="N90" s="151" t="n"/>
      <c r="O90" s="152" t="n"/>
      <c r="P90" s="151" t="n"/>
      <c r="Q90" s="48" t="n"/>
      <c r="R90" s="49" t="n"/>
      <c r="S90" s="28" t="n"/>
      <c r="T90" s="28" t="n"/>
      <c r="U90" s="28" t="n"/>
      <c r="V90" s="55" t="n"/>
      <c r="W90" s="57" t="n"/>
      <c r="X90" s="137" t="n"/>
      <c r="Y90" s="137" t="n"/>
    </row>
    <row r="91">
      <c r="B91" s="60" t="n"/>
      <c r="C91" s="40" t="n"/>
      <c r="D91" s="40" t="n"/>
      <c r="E91" s="109" t="n"/>
      <c r="F91" s="109" t="n"/>
      <c r="G91" s="57" t="n"/>
      <c r="H91" s="57" t="n"/>
      <c r="I91" s="40" t="n"/>
      <c r="J91" s="153" t="n"/>
      <c r="K91" s="151" t="n"/>
      <c r="L91" s="151" t="n"/>
      <c r="M91" s="151" t="n"/>
      <c r="N91" s="151" t="n"/>
      <c r="O91" s="152" t="n"/>
      <c r="P91" s="151" t="n"/>
      <c r="Q91" s="48" t="n"/>
      <c r="R91" s="49" t="n"/>
      <c r="S91" s="28" t="n"/>
      <c r="T91" s="28" t="n"/>
      <c r="U91" s="28" t="n"/>
      <c r="V91" s="55" t="n"/>
      <c r="W91" s="57" t="n"/>
      <c r="X91" s="137" t="n"/>
      <c r="Y91" s="137" t="n"/>
    </row>
    <row r="92" ht="13.5" customHeight="1" s="50" thickBot="1">
      <c r="B92" s="60" t="n"/>
      <c r="C92" s="40" t="n"/>
      <c r="D92" s="40" t="n"/>
      <c r="E92" s="109" t="n"/>
      <c r="F92" s="109" t="n"/>
      <c r="G92" s="57" t="n"/>
      <c r="H92" s="57" t="n"/>
      <c r="I92" s="40" t="n"/>
      <c r="J92" s="151" t="n"/>
      <c r="K92" s="151" t="n"/>
      <c r="L92" s="151" t="n"/>
      <c r="M92" s="151" t="n"/>
      <c r="N92" s="151" t="n"/>
      <c r="O92" s="152" t="n"/>
      <c r="P92" s="151" t="n"/>
      <c r="Q92" s="48" t="n"/>
      <c r="R92" s="49" t="n"/>
      <c r="S92" s="28" t="n"/>
      <c r="T92" s="83">
        <f>SUM(T89,T65,T61,T59,T44,T30)</f>
        <v/>
      </c>
      <c r="U92" s="28" t="inlineStr">
        <is>
          <t>Deal 211642</t>
        </is>
      </c>
      <c r="V92" s="55" t="n"/>
      <c r="W92" s="57" t="n"/>
      <c r="X92" s="137" t="n"/>
      <c r="Y92" s="137" t="n"/>
    </row>
    <row r="93" ht="13.5" customHeight="1" s="50" thickTop="1">
      <c r="B93" s="60" t="n"/>
      <c r="C93" s="40" t="n"/>
      <c r="D93" s="40" t="n"/>
      <c r="E93" s="109" t="n"/>
      <c r="F93" s="109" t="n"/>
      <c r="G93" s="57" t="n"/>
      <c r="H93" s="57" t="n"/>
      <c r="I93" s="40" t="n"/>
      <c r="J93" s="151" t="n"/>
      <c r="K93" s="151" t="n"/>
      <c r="L93" s="151" t="n"/>
      <c r="M93" s="151" t="n"/>
      <c r="N93" s="151" t="n"/>
      <c r="O93" s="152" t="n"/>
      <c r="P93" s="151" t="n"/>
      <c r="Q93" s="48" t="n"/>
      <c r="R93" s="49" t="n"/>
      <c r="S93" s="28" t="n"/>
      <c r="T93" s="28" t="n"/>
      <c r="U93" s="57" t="inlineStr">
        <is>
          <t>100% Reimbursed from CES</t>
        </is>
      </c>
      <c r="V93" s="55" t="n"/>
      <c r="W93" s="57" t="n"/>
      <c r="X93" s="40" t="n"/>
      <c r="Y93" s="137" t="n"/>
    </row>
    <row r="94">
      <c r="B94" s="60" t="n"/>
      <c r="C94" s="40" t="n"/>
      <c r="D94" s="40" t="n"/>
      <c r="E94" s="109" t="n"/>
      <c r="F94" s="109" t="n"/>
      <c r="G94" s="57" t="n"/>
      <c r="H94" s="57" t="n"/>
      <c r="I94" s="40" t="n"/>
      <c r="J94" s="151" t="n"/>
      <c r="K94" s="151" t="n"/>
      <c r="L94" s="151" t="n"/>
      <c r="M94" s="151" t="n"/>
      <c r="N94" s="151" t="n"/>
      <c r="O94" s="152" t="n"/>
      <c r="P94" s="151" t="n"/>
      <c r="Q94" s="48" t="n"/>
      <c r="R94" s="49" t="n"/>
      <c r="S94" s="28" t="n"/>
      <c r="T94" s="28" t="n"/>
      <c r="U94" s="28" t="n"/>
      <c r="V94" s="55" t="n"/>
      <c r="W94" s="57" t="n"/>
      <c r="X94" s="137" t="n"/>
      <c r="Y94" s="137" t="n"/>
    </row>
    <row r="95">
      <c r="B95" s="60" t="n"/>
      <c r="C95" s="40" t="n"/>
      <c r="D95" s="40" t="n"/>
      <c r="E95" s="109" t="n"/>
      <c r="F95" s="109" t="n"/>
      <c r="G95" s="57" t="n"/>
      <c r="H95" s="57" t="n"/>
      <c r="I95" s="40" t="n"/>
      <c r="J95" s="151" t="n"/>
      <c r="K95" s="151" t="n"/>
      <c r="L95" s="151" t="n"/>
      <c r="M95" s="151" t="n"/>
      <c r="N95" s="151" t="n"/>
      <c r="O95" s="152" t="n"/>
      <c r="P95" s="151" t="n"/>
      <c r="Q95" s="48" t="n"/>
      <c r="R95" s="49" t="n"/>
      <c r="S95" s="28" t="n"/>
      <c r="T95" s="28" t="n"/>
      <c r="U95" s="28" t="n"/>
      <c r="V95" s="55" t="n"/>
      <c r="W95" s="57" t="n"/>
      <c r="X95" s="137" t="n"/>
      <c r="Y95" s="137" t="n"/>
    </row>
    <row r="96">
      <c r="B96" s="60" t="n"/>
      <c r="C96" s="40" t="n"/>
      <c r="D96" s="40" t="n"/>
      <c r="E96" s="137" t="n"/>
      <c r="F96" s="109" t="n"/>
      <c r="G96" s="57" t="n"/>
      <c r="H96" s="57" t="n"/>
      <c r="I96" s="40" t="n"/>
      <c r="J96" s="153" t="n"/>
      <c r="K96" s="151" t="n"/>
      <c r="L96" s="151" t="n"/>
      <c r="M96" s="151" t="n"/>
      <c r="N96" s="151" t="n"/>
      <c r="O96" s="152" t="n"/>
      <c r="P96" s="151" t="n"/>
      <c r="Q96" s="48" t="n"/>
      <c r="R96" s="49" t="n"/>
      <c r="S96" s="40" t="n"/>
      <c r="T96" s="28" t="n"/>
      <c r="U96" s="28" t="n"/>
      <c r="V96" s="55" t="n"/>
      <c r="W96" s="57" t="n"/>
      <c r="X96" s="137" t="n"/>
      <c r="Y96" s="137" t="n"/>
    </row>
    <row r="97">
      <c r="B97" s="60" t="n"/>
      <c r="C97" s="40" t="n"/>
      <c r="D97" s="40" t="n"/>
      <c r="E97" s="137" t="n"/>
      <c r="F97" s="109" t="n"/>
      <c r="G97" s="57" t="n"/>
      <c r="H97" s="57" t="n"/>
      <c r="I97" s="40" t="n"/>
      <c r="J97" s="153" t="n"/>
      <c r="K97" s="151" t="n"/>
      <c r="L97" s="151" t="n"/>
      <c r="M97" s="151" t="n"/>
      <c r="N97" s="151" t="n"/>
      <c r="O97" s="152" t="n"/>
      <c r="P97" s="151" t="n"/>
      <c r="Q97" s="48" t="n"/>
      <c r="R97" s="49" t="n"/>
      <c r="S97" s="40" t="n"/>
      <c r="T97" s="28" t="n"/>
      <c r="U97" s="28" t="n"/>
      <c r="V97" s="55" t="n"/>
      <c r="W97" s="57" t="n"/>
      <c r="X97" s="137" t="n"/>
      <c r="Y97" s="137" t="n"/>
    </row>
    <row r="98">
      <c r="W98" s="60" t="n"/>
    </row>
    <row r="99">
      <c r="W99" s="60" t="n"/>
    </row>
  </sheetData>
  <pageMargins left="0.75" right="0.75" top="1" bottom="1" header="0.5" footer="0.5"/>
  <pageSetup orientation="landscape" scale="33" fitToHeight="3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Y81"/>
  <sheetViews>
    <sheetView topLeftCell="A31" workbookViewId="0">
      <selection activeCell="A36" sqref="A36"/>
    </sheetView>
  </sheetViews>
  <sheetFormatPr baseColWidth="8" defaultRowHeight="12.75"/>
  <cols>
    <col width="9.140625" customWidth="1" style="50" min="1" max="1"/>
    <col width="10" customWidth="1" style="50" min="2" max="2"/>
    <col width="9.140625" customWidth="1" style="50" min="3" max="3"/>
    <col width="10.5703125" customWidth="1" style="50" min="4" max="4"/>
    <col width="9.28515625" customWidth="1" style="50" min="5" max="5"/>
    <col width="9.5703125" customWidth="1" style="50" min="6" max="6"/>
    <col width="12.42578125" customWidth="1" style="60" min="7" max="7"/>
    <col width="16.42578125" customWidth="1" style="60" min="8" max="8"/>
    <col width="16.5703125" customWidth="1" style="50" min="9" max="9"/>
    <col width="7.7109375" customWidth="1" style="50" min="10" max="10"/>
    <col hidden="1" width="13" customWidth="1" style="50" min="11" max="14"/>
    <col hidden="1" width="13" customWidth="1" style="149" min="15" max="15"/>
    <col hidden="1" width="13" customWidth="1" style="50" min="16" max="16"/>
    <col width="14.28515625" customWidth="1" style="50" min="17" max="17"/>
    <col width="10.85546875" customWidth="1" style="50" min="18" max="18"/>
    <col width="12.28515625" customWidth="1" style="50" min="19" max="19"/>
    <col width="10.7109375" customWidth="1" style="50" min="20" max="20"/>
    <col width="11.85546875" customWidth="1" style="50" min="21" max="21"/>
    <col width="14.85546875" customWidth="1" style="50" min="22" max="22"/>
    <col width="42.28515625" customWidth="1" style="60" min="23" max="23"/>
    <col width="9.140625" customWidth="1" style="50" min="24" max="25"/>
    <col width="12.42578125" customWidth="1" style="50" min="26" max="26"/>
    <col width="9.140625" customWidth="1" style="50" min="27" max="16384"/>
  </cols>
  <sheetData>
    <row r="1">
      <c r="B1" s="41" t="inlineStr">
        <is>
          <t>CES East Desk Transportation Capacity for September, 2000</t>
        </is>
      </c>
      <c r="C1" s="40" t="n"/>
      <c r="D1" s="40" t="n"/>
      <c r="E1" s="109" t="n"/>
      <c r="F1" s="109" t="n"/>
      <c r="G1" s="57" t="n"/>
      <c r="H1" s="57" t="n"/>
      <c r="I1" s="40" t="inlineStr">
        <is>
          <t>Days</t>
        </is>
      </c>
      <c r="J1" s="7" t="n">
        <v>30</v>
      </c>
      <c r="K1" s="150" t="inlineStr">
        <is>
          <t>CES Contact:  [Person_9] [PHONE_PREFIX]-2801</t>
        </is>
      </c>
      <c r="L1" s="151" t="n"/>
      <c r="M1" s="151" t="n"/>
      <c r="N1" s="151" t="n"/>
      <c r="O1" s="152" t="n"/>
      <c r="P1" s="151" t="n"/>
      <c r="Q1" s="48" t="n"/>
      <c r="R1" s="49" t="n"/>
      <c r="S1" s="28" t="n"/>
      <c r="T1" s="28" t="n"/>
      <c r="U1" s="28" t="n"/>
      <c r="V1" s="55" t="n"/>
      <c r="W1" s="57" t="n"/>
      <c r="X1" s="137" t="n"/>
      <c r="Y1" s="137" t="n"/>
    </row>
    <row r="2">
      <c r="B2" s="57" t="inlineStr">
        <is>
          <t>Items have been checked</t>
        </is>
      </c>
      <c r="C2" s="57" t="n"/>
      <c r="D2" s="57" t="n"/>
      <c r="E2" s="109" t="n"/>
      <c r="F2" s="109" t="n"/>
      <c r="G2" s="57" t="n"/>
      <c r="H2" s="57" t="n"/>
      <c r="I2" s="40" t="n"/>
      <c r="J2" s="7" t="n"/>
      <c r="K2" s="150" t="inlineStr">
        <is>
          <t>[Person_10]:  [Person_11] 3-6751</t>
        </is>
      </c>
      <c r="L2" s="151" t="n"/>
      <c r="M2" s="151" t="n"/>
      <c r="N2" s="151" t="n"/>
      <c r="O2" s="152" t="n"/>
      <c r="P2" s="151" t="n"/>
      <c r="Q2" s="48" t="n"/>
      <c r="R2" s="49" t="n"/>
      <c r="S2" s="28" t="n"/>
      <c r="T2" s="28" t="n"/>
      <c r="U2" s="28" t="n"/>
      <c r="V2" s="55" t="n"/>
      <c r="W2" s="57" t="n"/>
      <c r="X2" s="137" t="n"/>
      <c r="Y2" s="137" t="n"/>
    </row>
    <row r="3">
      <c r="B3" s="57" t="inlineStr">
        <is>
          <t>Need to verify</t>
        </is>
      </c>
      <c r="C3" s="57" t="n"/>
      <c r="D3" s="57" t="n"/>
      <c r="E3" s="109" t="n"/>
      <c r="F3" s="109" t="n"/>
      <c r="G3" s="6" t="inlineStr">
        <is>
          <t> </t>
        </is>
      </c>
      <c r="H3" s="57" t="inlineStr">
        <is>
          <t> </t>
        </is>
      </c>
      <c r="I3" s="49" t="inlineStr">
        <is>
          <t> </t>
        </is>
      </c>
      <c r="J3" s="153" t="n"/>
      <c r="K3" s="154" t="inlineStr">
        <is>
          <t> </t>
        </is>
      </c>
      <c r="L3" s="151" t="n"/>
      <c r="M3" s="154" t="inlineStr">
        <is>
          <t> </t>
        </is>
      </c>
      <c r="N3" s="151" t="n"/>
      <c r="O3" s="152" t="n"/>
      <c r="P3" s="154" t="inlineStr">
        <is>
          <t> </t>
        </is>
      </c>
      <c r="Q3" s="48" t="n"/>
      <c r="R3" s="49" t="n"/>
      <c r="S3" s="28" t="n"/>
      <c r="T3" s="28" t="n"/>
      <c r="U3" s="28" t="n"/>
      <c r="V3" s="55" t="n"/>
      <c r="W3" s="57" t="n"/>
      <c r="X3" s="137" t="n"/>
      <c r="Y3" s="137" t="n"/>
    </row>
    <row r="4">
      <c r="B4" s="57" t="n"/>
      <c r="C4" s="40" t="n"/>
      <c r="D4" s="40" t="n"/>
      <c r="E4" s="109" t="n"/>
      <c r="F4" s="109" t="n"/>
      <c r="G4" s="32" t="n"/>
      <c r="H4" s="57" t="n"/>
      <c r="I4" s="32" t="n"/>
      <c r="J4" s="153" t="n"/>
      <c r="K4" s="32" t="n"/>
      <c r="L4" s="151" t="n"/>
      <c r="M4" s="32" t="n"/>
      <c r="N4" s="49" t="n"/>
      <c r="O4" s="152" t="n"/>
      <c r="P4" s="49" t="n"/>
      <c r="Q4" s="48" t="n"/>
      <c r="R4" s="49" t="n"/>
      <c r="S4" s="28" t="n"/>
      <c r="T4" s="33" t="n"/>
      <c r="U4" s="33" t="n"/>
      <c r="V4" s="52" t="n"/>
      <c r="W4" s="57" t="n"/>
      <c r="X4" s="137" t="n"/>
      <c r="Y4" s="137" t="n"/>
    </row>
    <row r="5">
      <c r="B5" s="57" t="inlineStr">
        <is>
          <t>Comments:</t>
        </is>
      </c>
      <c r="C5" s="40" t="n"/>
      <c r="D5" s="57" t="n"/>
      <c r="E5" s="109" t="n"/>
      <c r="F5" s="109" t="n"/>
      <c r="G5" s="32" t="n"/>
      <c r="H5" s="57" t="n"/>
      <c r="I5" s="32" t="n"/>
      <c r="J5" s="153" t="n"/>
      <c r="K5" s="32" t="n"/>
      <c r="L5" s="151" t="n"/>
      <c r="M5" s="32" t="n"/>
      <c r="N5" s="49" t="n"/>
      <c r="O5" s="152" t="n"/>
      <c r="P5" s="49" t="n"/>
      <c r="Q5" s="48" t="n"/>
      <c r="R5" s="49" t="n"/>
      <c r="S5" s="28" t="n"/>
      <c r="T5" s="33" t="n"/>
      <c r="U5" s="33" t="n"/>
      <c r="V5" s="52" t="n"/>
      <c r="W5" s="57" t="n"/>
      <c r="X5" s="137" t="n"/>
      <c r="Y5" s="137" t="n"/>
    </row>
    <row r="6">
      <c r="B6" s="57" t="n"/>
      <c r="C6" s="40" t="inlineStr">
        <is>
          <t>Pending Release</t>
        </is>
      </c>
      <c r="D6" s="40" t="n"/>
      <c r="E6" s="109" t="n"/>
      <c r="F6" s="109" t="n"/>
      <c r="G6" s="32" t="n"/>
      <c r="H6" s="57" t="n"/>
      <c r="I6" s="32" t="n"/>
      <c r="J6" s="153" t="n"/>
      <c r="K6" s="32" t="n"/>
      <c r="L6" s="151" t="n"/>
      <c r="M6" s="32" t="n"/>
      <c r="N6" s="49" t="n"/>
      <c r="O6" s="152" t="n"/>
      <c r="P6" s="49" t="n"/>
      <c r="Q6" s="48" t="n"/>
      <c r="R6" s="49" t="n"/>
      <c r="S6" s="28" t="n"/>
      <c r="T6" s="33" t="n"/>
      <c r="U6" s="33" t="n"/>
      <c r="V6" s="52" t="n"/>
      <c r="W6" s="57" t="n"/>
      <c r="X6" s="137" t="n"/>
      <c r="Y6" s="137" t="n"/>
    </row>
    <row r="7">
      <c r="B7" s="57" t="n"/>
      <c r="C7" s="40" t="n"/>
      <c r="D7" s="40" t="n"/>
      <c r="E7" s="109" t="n"/>
      <c r="F7" s="109" t="n"/>
      <c r="G7" s="32" t="n"/>
      <c r="H7" s="57" t="n"/>
      <c r="I7" s="32" t="n"/>
      <c r="J7" s="153" t="n"/>
      <c r="K7" s="32" t="n"/>
      <c r="L7" s="151" t="n"/>
      <c r="M7" s="32" t="n"/>
      <c r="N7" s="49" t="n"/>
      <c r="O7" s="152" t="n"/>
      <c r="P7" s="49" t="n"/>
      <c r="Q7" s="48" t="n"/>
      <c r="R7" s="49" t="n"/>
      <c r="S7" s="28" t="n"/>
      <c r="T7" s="33" t="n"/>
      <c r="U7" s="33" t="n"/>
      <c r="V7" s="52" t="n"/>
      <c r="W7" s="57" t="n"/>
      <c r="X7" s="137" t="n"/>
      <c r="Y7" s="137" t="n"/>
    </row>
    <row r="8">
      <c r="B8" s="57" t="n"/>
      <c r="C8" s="40" t="n"/>
      <c r="D8" s="40" t="n"/>
      <c r="E8" s="109" t="n"/>
      <c r="F8" s="109" t="n"/>
      <c r="G8" s="32" t="n"/>
      <c r="H8" s="57" t="n"/>
      <c r="I8" s="32" t="n"/>
      <c r="J8" s="153" t="n"/>
      <c r="K8" s="32" t="n"/>
      <c r="L8" s="151" t="n"/>
      <c r="M8" s="32" t="n"/>
      <c r="N8" s="49" t="n"/>
      <c r="O8" s="152" t="n"/>
      <c r="P8" s="49" t="n"/>
      <c r="Q8" s="48" t="n"/>
      <c r="R8" s="49" t="n"/>
      <c r="S8" s="28" t="n"/>
      <c r="T8" s="33" t="n"/>
      <c r="U8" s="33" t="n"/>
      <c r="V8" s="52" t="n"/>
      <c r="W8" s="57" t="n"/>
      <c r="X8" s="137" t="n"/>
      <c r="Y8" s="137" t="n"/>
    </row>
    <row r="9">
      <c r="B9" s="57" t="n"/>
      <c r="C9" s="40" t="n"/>
      <c r="D9" s="40" t="n"/>
      <c r="E9" s="109" t="n"/>
      <c r="F9" s="109" t="n"/>
      <c r="G9" s="32" t="n"/>
      <c r="H9" s="57" t="n"/>
      <c r="I9" s="32" t="n"/>
      <c r="J9" s="153" t="n"/>
      <c r="K9" s="32" t="n"/>
      <c r="L9" s="151" t="n"/>
      <c r="M9" s="32" t="n"/>
      <c r="N9" s="49" t="n"/>
      <c r="O9" s="152" t="n"/>
      <c r="P9" s="49" t="n"/>
      <c r="Q9" s="48" t="n"/>
      <c r="R9" s="49" t="n"/>
      <c r="S9" s="28" t="n"/>
      <c r="T9" s="33" t="n"/>
      <c r="U9" s="33" t="n"/>
      <c r="V9" s="52" t="n"/>
      <c r="W9" s="57" t="n"/>
      <c r="X9" s="137" t="n"/>
      <c r="Y9" s="137" t="n"/>
    </row>
    <row r="10">
      <c r="B10" s="57" t="n"/>
      <c r="C10" s="40" t="n"/>
      <c r="D10" s="40" t="n"/>
      <c r="E10" s="109" t="n"/>
      <c r="F10" s="109" t="n"/>
      <c r="G10" s="32" t="n"/>
      <c r="H10" s="57" t="n"/>
      <c r="I10" s="32" t="n"/>
      <c r="J10" s="153" t="n"/>
      <c r="K10" s="32" t="n"/>
      <c r="L10" s="151" t="n"/>
      <c r="M10" s="32" t="n"/>
      <c r="N10" s="49" t="n"/>
      <c r="O10" s="152" t="n"/>
      <c r="P10" s="49" t="n"/>
      <c r="Q10" s="48" t="n"/>
      <c r="R10" s="49" t="n"/>
      <c r="S10" s="28" t="n"/>
      <c r="T10" s="33" t="n"/>
      <c r="U10" s="33" t="n"/>
      <c r="V10" s="52" t="n"/>
      <c r="W10" s="57" t="n"/>
      <c r="X10" s="137" t="n"/>
      <c r="Y10" s="137" t="n"/>
    </row>
    <row r="11">
      <c r="B11" s="16" t="inlineStr">
        <is>
          <t>buy/sell</t>
        </is>
      </c>
      <c r="C11" s="17" t="inlineStr">
        <is>
          <t>pipe</t>
        </is>
      </c>
      <c r="D11" s="17" t="inlineStr">
        <is>
          <t>Cust / LDC</t>
        </is>
      </c>
      <c r="E11" s="18" t="inlineStr">
        <is>
          <t>dates</t>
        </is>
      </c>
      <c r="F11" s="18" t="n"/>
      <c r="G11" s="16" t="inlineStr">
        <is>
          <t>rec</t>
        </is>
      </c>
      <c r="H11" s="16" t="inlineStr">
        <is>
          <t>del</t>
        </is>
      </c>
      <c r="I11" s="17" t="inlineStr">
        <is>
          <t>Type</t>
        </is>
      </c>
      <c r="J11" s="155" t="inlineStr">
        <is>
          <t>dem</t>
        </is>
      </c>
      <c r="K11" s="17" t="inlineStr">
        <is>
          <t>com</t>
        </is>
      </c>
      <c r="L11" s="17" t="inlineStr">
        <is>
          <t>aca</t>
        </is>
      </c>
      <c r="M11" s="17" t="inlineStr">
        <is>
          <t>gri</t>
        </is>
      </c>
      <c r="N11" s="17" t="inlineStr">
        <is>
          <t>s/c</t>
        </is>
      </c>
      <c r="O11" s="156" t="inlineStr">
        <is>
          <t>fuel %</t>
        </is>
      </c>
      <c r="P11" s="17" t="inlineStr">
        <is>
          <t>total</t>
        </is>
      </c>
      <c r="Q11" s="20" t="inlineStr">
        <is>
          <t>New K#</t>
        </is>
      </c>
      <c r="R11" s="17" t="inlineStr">
        <is>
          <t>vol</t>
        </is>
      </c>
      <c r="S11" s="16" t="inlineStr">
        <is>
          <t>comment</t>
        </is>
      </c>
      <c r="T11" s="21" t="inlineStr">
        <is>
          <t>Est Demand</t>
        </is>
      </c>
      <c r="U11" s="21" t="inlineStr">
        <is>
          <t>Act Demand</t>
        </is>
      </c>
      <c r="V11" s="53" t="inlineStr">
        <is>
          <t>New Sitara</t>
        </is>
      </c>
      <c r="W11" s="58" t="inlineStr">
        <is>
          <t>Questions</t>
        </is>
      </c>
      <c r="X11" s="137" t="n"/>
      <c r="Y11" s="137" t="n"/>
    </row>
    <row r="12">
      <c r="B12" s="16" t="inlineStr">
        <is>
          <t>buy/sell</t>
        </is>
      </c>
      <c r="C12" s="17" t="inlineStr">
        <is>
          <t>pipe</t>
        </is>
      </c>
      <c r="D12" s="17" t="inlineStr">
        <is>
          <t>Cust / LDC</t>
        </is>
      </c>
      <c r="E12" s="18" t="inlineStr">
        <is>
          <t>dates</t>
        </is>
      </c>
      <c r="F12" s="18" t="n"/>
      <c r="G12" s="16" t="inlineStr">
        <is>
          <t>rec</t>
        </is>
      </c>
      <c r="H12" s="16" t="inlineStr">
        <is>
          <t>del</t>
        </is>
      </c>
      <c r="I12" s="17" t="inlineStr">
        <is>
          <t>Type</t>
        </is>
      </c>
      <c r="J12" s="155" t="inlineStr">
        <is>
          <t>dem</t>
        </is>
      </c>
      <c r="K12" s="17" t="inlineStr">
        <is>
          <t>com</t>
        </is>
      </c>
      <c r="L12" s="17" t="inlineStr">
        <is>
          <t>aca</t>
        </is>
      </c>
      <c r="M12" s="17" t="inlineStr">
        <is>
          <t>gri</t>
        </is>
      </c>
      <c r="N12" s="17" t="inlineStr">
        <is>
          <t>s/c</t>
        </is>
      </c>
      <c r="O12" s="156" t="inlineStr">
        <is>
          <t>fuel %</t>
        </is>
      </c>
      <c r="P12" s="17" t="inlineStr">
        <is>
          <t>total</t>
        </is>
      </c>
      <c r="Q12" s="20" t="inlineStr">
        <is>
          <t>New K#</t>
        </is>
      </c>
      <c r="R12" s="17" t="inlineStr">
        <is>
          <t>vol</t>
        </is>
      </c>
      <c r="S12" s="16" t="inlineStr">
        <is>
          <t>comment</t>
        </is>
      </c>
      <c r="T12" s="21" t="inlineStr">
        <is>
          <t>Est Demand</t>
        </is>
      </c>
      <c r="U12" s="21" t="inlineStr">
        <is>
          <t>Act Demand</t>
        </is>
      </c>
      <c r="V12" s="53" t="inlineStr">
        <is>
          <t>New Sitara</t>
        </is>
      </c>
      <c r="W12" s="58" t="inlineStr">
        <is>
          <t>Questions</t>
        </is>
      </c>
      <c r="X12" s="137" t="n"/>
      <c r="Y12" s="137" t="n"/>
    </row>
    <row r="13" customFormat="1" s="129">
      <c r="B13" s="118" t="inlineStr">
        <is>
          <t>ENA</t>
        </is>
      </c>
      <c r="C13" s="134" t="inlineStr">
        <is>
          <t>CNG</t>
        </is>
      </c>
      <c r="D13" s="134" t="inlineStr">
        <is>
          <t>Atlanta</t>
        </is>
      </c>
      <c r="E13" s="120" t="n">
        <v>36770</v>
      </c>
      <c r="F13" s="120" t="n">
        <v>36981</v>
      </c>
      <c r="G13" s="130" t="n">
        <v>10001</v>
      </c>
      <c r="H13" s="130" t="n">
        <v>10001</v>
      </c>
      <c r="I13" s="134" t="inlineStr">
        <is>
          <t>GSSTE</t>
        </is>
      </c>
      <c r="J13" s="157" t="n">
        <v>0.0137</v>
      </c>
      <c r="K13" s="158" t="n"/>
      <c r="L13" s="158" t="n"/>
      <c r="M13" s="158" t="n"/>
      <c r="N13" s="158" t="n"/>
      <c r="O13" s="159" t="n"/>
      <c r="P13" s="158" t="n"/>
      <c r="Q13" s="125" t="n">
        <v>530750</v>
      </c>
      <c r="R13" s="134" t="n">
        <v>9374</v>
      </c>
      <c r="S13" s="118" t="inlineStr">
        <is>
          <t>#14174</t>
        </is>
      </c>
      <c r="T13" s="126">
        <f>J13*1*R13</f>
        <v/>
      </c>
      <c r="U13" s="126" t="n"/>
      <c r="V13" s="127" t="n">
        <v>384260</v>
      </c>
      <c r="W13" s="118" t="n"/>
      <c r="X13" s="135" t="n"/>
      <c r="Y13" s="135" t="n"/>
    </row>
    <row r="14" customFormat="1" s="129">
      <c r="B14" s="118" t="inlineStr">
        <is>
          <t>ENA</t>
        </is>
      </c>
      <c r="C14" s="134" t="inlineStr">
        <is>
          <t>CNG</t>
        </is>
      </c>
      <c r="D14" s="134" t="inlineStr">
        <is>
          <t>Atlanta</t>
        </is>
      </c>
      <c r="E14" s="120" t="n">
        <v>36770</v>
      </c>
      <c r="F14" s="120" t="n">
        <v>36981</v>
      </c>
      <c r="G14" s="130" t="n">
        <v>10002</v>
      </c>
      <c r="H14" s="130" t="n">
        <v>10002</v>
      </c>
      <c r="I14" s="134" t="inlineStr">
        <is>
          <t>GSSTE</t>
        </is>
      </c>
      <c r="J14" s="157" t="n">
        <v>1.0137</v>
      </c>
      <c r="K14" s="158" t="n"/>
      <c r="L14" s="158" t="n"/>
      <c r="M14" s="158" t="n"/>
      <c r="N14" s="158" t="n"/>
      <c r="O14" s="159" t="n"/>
      <c r="P14" s="158" t="n"/>
      <c r="Q14" s="125" t="n">
        <v>530750</v>
      </c>
      <c r="R14" s="134" t="n">
        <v>153</v>
      </c>
      <c r="S14" s="118" t="inlineStr">
        <is>
          <t>#14174</t>
        </is>
      </c>
      <c r="T14" s="126">
        <f>J14*1*R14</f>
        <v/>
      </c>
      <c r="U14" s="126" t="n"/>
      <c r="V14" s="127" t="n">
        <v>384260</v>
      </c>
      <c r="W14" s="118" t="n"/>
      <c r="X14" s="135" t="n"/>
      <c r="Y14" s="135" t="n"/>
    </row>
    <row r="15" customFormat="1" s="129">
      <c r="B15" s="118" t="inlineStr">
        <is>
          <t>ENA</t>
        </is>
      </c>
      <c r="C15" s="134" t="inlineStr">
        <is>
          <t>CNG</t>
        </is>
      </c>
      <c r="D15" s="134" t="inlineStr">
        <is>
          <t>Atlanta</t>
        </is>
      </c>
      <c r="E15" s="120" t="n">
        <v>36770</v>
      </c>
      <c r="F15" s="120" t="n">
        <v>36799</v>
      </c>
      <c r="G15" s="130" t="n">
        <v>10001</v>
      </c>
      <c r="H15" s="130" t="n">
        <v>10001</v>
      </c>
      <c r="I15" s="134" t="inlineStr">
        <is>
          <t>GSSTE</t>
        </is>
      </c>
      <c r="J15" s="157" t="n">
        <v>1.8373</v>
      </c>
      <c r="K15" s="158" t="n"/>
      <c r="L15" s="158" t="n"/>
      <c r="M15" s="158" t="n"/>
      <c r="N15" s="158" t="n"/>
      <c r="O15" s="159" t="n"/>
      <c r="P15" s="158" t="n"/>
      <c r="Q15" s="125" t="n">
        <v>530769</v>
      </c>
      <c r="R15" s="134" t="n">
        <v>66</v>
      </c>
      <c r="S15" s="118" t="inlineStr">
        <is>
          <t>#14203</t>
        </is>
      </c>
      <c r="T15" s="126">
        <f>J15*1*R15</f>
        <v/>
      </c>
      <c r="U15" s="126" t="n"/>
      <c r="V15" s="127" t="n">
        <v>384234</v>
      </c>
      <c r="W15" s="118" t="n"/>
      <c r="X15" s="135" t="n"/>
      <c r="Y15" s="135" t="n"/>
    </row>
    <row r="16" customFormat="1" s="129">
      <c r="B16" s="118" t="inlineStr">
        <is>
          <t>ENA</t>
        </is>
      </c>
      <c r="C16" s="134" t="inlineStr">
        <is>
          <t>CNG</t>
        </is>
      </c>
      <c r="D16" s="134" t="inlineStr">
        <is>
          <t>Atlanta</t>
        </is>
      </c>
      <c r="E16" s="120" t="n">
        <v>36770</v>
      </c>
      <c r="F16" s="120" t="n">
        <v>36799</v>
      </c>
      <c r="G16" s="130" t="n">
        <v>10001</v>
      </c>
      <c r="H16" s="130" t="n">
        <v>10001</v>
      </c>
      <c r="I16" s="134" t="inlineStr">
        <is>
          <t>GSSTE</t>
        </is>
      </c>
      <c r="J16" s="157" t="n">
        <v>0.0137</v>
      </c>
      <c r="K16" s="158" t="n"/>
      <c r="L16" s="158" t="n"/>
      <c r="M16" s="158" t="n"/>
      <c r="N16" s="158" t="n"/>
      <c r="O16" s="159" t="n"/>
      <c r="P16" s="158" t="n"/>
      <c r="Q16" s="125" t="n">
        <v>530769</v>
      </c>
      <c r="R16" s="134" t="n">
        <v>4018</v>
      </c>
      <c r="S16" s="118" t="inlineStr">
        <is>
          <t>#14203</t>
        </is>
      </c>
      <c r="T16" s="126">
        <f>J16*1*R16</f>
        <v/>
      </c>
      <c r="U16" s="126" t="n"/>
      <c r="V16" s="127" t="n">
        <v>384234</v>
      </c>
      <c r="W16" s="118" t="n"/>
      <c r="X16" s="135" t="n"/>
      <c r="Y16" s="135" t="n"/>
    </row>
    <row r="17">
      <c r="B17" s="10" t="inlineStr">
        <is>
          <t> </t>
        </is>
      </c>
      <c r="C17" s="11" t="inlineStr">
        <is>
          <t> </t>
        </is>
      </c>
      <c r="D17" s="12" t="inlineStr">
        <is>
          <t> </t>
        </is>
      </c>
      <c r="E17" s="13" t="inlineStr">
        <is>
          <t> </t>
        </is>
      </c>
      <c r="F17" s="13" t="n"/>
      <c r="G17" s="10" t="inlineStr">
        <is>
          <t> </t>
        </is>
      </c>
      <c r="H17" s="30" t="inlineStr">
        <is>
          <t> </t>
        </is>
      </c>
      <c r="I17" s="11" t="inlineStr">
        <is>
          <t> </t>
        </is>
      </c>
      <c r="J17" s="162" t="n"/>
      <c r="K17" s="163" t="n"/>
      <c r="L17" s="163" t="n"/>
      <c r="M17" s="163" t="n"/>
      <c r="N17" s="163" t="n"/>
      <c r="O17" s="164" t="n"/>
      <c r="P17" s="163" t="n"/>
      <c r="Q17" s="26" t="inlineStr">
        <is>
          <t> </t>
        </is>
      </c>
      <c r="R17" s="11">
        <f>SUM(R13:R16)</f>
        <v/>
      </c>
      <c r="S17" s="10" t="inlineStr">
        <is>
          <t> </t>
        </is>
      </c>
      <c r="T17" s="22">
        <f>SUM(T13:T16)</f>
        <v/>
      </c>
      <c r="U17" s="22" t="n"/>
      <c r="V17" s="54" t="n"/>
      <c r="W17" s="10" t="n"/>
      <c r="X17" s="137" t="n"/>
      <c r="Y17" s="137" t="n"/>
    </row>
    <row r="18">
      <c r="B18" s="16" t="inlineStr">
        <is>
          <t>buy/sell</t>
        </is>
      </c>
      <c r="C18" s="17" t="inlineStr">
        <is>
          <t>pipe</t>
        </is>
      </c>
      <c r="D18" s="17" t="inlineStr">
        <is>
          <t>customer</t>
        </is>
      </c>
      <c r="E18" s="18" t="inlineStr">
        <is>
          <t>dates</t>
        </is>
      </c>
      <c r="F18" s="18" t="n"/>
      <c r="G18" s="16" t="inlineStr">
        <is>
          <t>rec</t>
        </is>
      </c>
      <c r="H18" s="16" t="inlineStr">
        <is>
          <t>del</t>
        </is>
      </c>
      <c r="I18" s="17" t="inlineStr">
        <is>
          <t>Type</t>
        </is>
      </c>
      <c r="J18" s="155" t="inlineStr">
        <is>
          <t>dem</t>
        </is>
      </c>
      <c r="K18" s="17" t="inlineStr">
        <is>
          <t>com</t>
        </is>
      </c>
      <c r="L18" s="17" t="inlineStr">
        <is>
          <t>aca</t>
        </is>
      </c>
      <c r="M18" s="17" t="inlineStr">
        <is>
          <t>gri</t>
        </is>
      </c>
      <c r="N18" s="17" t="inlineStr">
        <is>
          <t>s/c</t>
        </is>
      </c>
      <c r="O18" s="156" t="inlineStr">
        <is>
          <t>fuel %</t>
        </is>
      </c>
      <c r="P18" s="17" t="inlineStr">
        <is>
          <t>total</t>
        </is>
      </c>
      <c r="Q18" s="20" t="inlineStr">
        <is>
          <t>New K#</t>
        </is>
      </c>
      <c r="R18" s="17" t="inlineStr">
        <is>
          <t>vol</t>
        </is>
      </c>
      <c r="S18" s="16" t="inlineStr">
        <is>
          <t>comment</t>
        </is>
      </c>
      <c r="T18" s="21" t="inlineStr">
        <is>
          <t>Est Demand</t>
        </is>
      </c>
      <c r="U18" s="21" t="inlineStr">
        <is>
          <t>Act Demand</t>
        </is>
      </c>
      <c r="V18" s="53" t="inlineStr">
        <is>
          <t>New Sitara</t>
        </is>
      </c>
      <c r="W18" s="58">
        <f>+W12</f>
        <v/>
      </c>
      <c r="X18" s="137" t="n"/>
      <c r="Y18" s="137" t="n"/>
    </row>
    <row r="19" customFormat="1" s="112">
      <c r="B19" s="57" t="inlineStr">
        <is>
          <t>ENA</t>
        </is>
      </c>
      <c r="C19" s="40" t="inlineStr">
        <is>
          <t>Col Gas</t>
        </is>
      </c>
      <c r="D19" s="40" t="inlineStr">
        <is>
          <t>CES / COH</t>
        </is>
      </c>
      <c r="E19" s="109" t="n">
        <v>36617</v>
      </c>
      <c r="F19" s="109" t="n">
        <v>36830</v>
      </c>
      <c r="G19" s="57" t="inlineStr">
        <is>
          <t>STOW</t>
        </is>
      </c>
      <c r="H19" s="57" t="inlineStr">
        <is>
          <t>MSQ</t>
        </is>
      </c>
      <c r="I19" s="40" t="inlineStr">
        <is>
          <t>FSS</t>
        </is>
      </c>
      <c r="J19" s="153">
        <f>6.238/J1</f>
        <v/>
      </c>
      <c r="K19" s="151" t="n">
        <v>0</v>
      </c>
      <c r="L19" s="151" t="n">
        <v>0</v>
      </c>
      <c r="M19" s="151" t="n">
        <v>0</v>
      </c>
      <c r="N19" s="151" t="n">
        <v>0</v>
      </c>
      <c r="O19" s="152" t="n">
        <v>0</v>
      </c>
      <c r="P19" s="151">
        <f>SUM(J19:N19)</f>
        <v/>
      </c>
      <c r="Q19" s="48" t="n">
        <v>51407</v>
      </c>
      <c r="R19" s="40" t="n">
        <v>73754</v>
      </c>
      <c r="S19" s="57" t="inlineStr">
        <is>
          <t>#24855</t>
        </is>
      </c>
      <c r="T19" s="28" t="n"/>
      <c r="U19" s="28" t="n"/>
      <c r="V19" s="55" t="n">
        <v>156569</v>
      </c>
      <c r="W19" s="57" t="n"/>
      <c r="X19" s="137" t="n"/>
      <c r="Y19" s="137" t="n"/>
    </row>
    <row r="20" customFormat="1" s="112">
      <c r="B20" s="57" t="inlineStr">
        <is>
          <t>ENA</t>
        </is>
      </c>
      <c r="C20" s="40" t="inlineStr">
        <is>
          <t>Col Gas</t>
        </is>
      </c>
      <c r="D20" s="40" t="inlineStr">
        <is>
          <t>CES / COH</t>
        </is>
      </c>
      <c r="E20" s="109" t="n">
        <v>36617</v>
      </c>
      <c r="F20" s="109" t="n">
        <v>36830</v>
      </c>
      <c r="G20" s="57" t="inlineStr">
        <is>
          <t>STOW</t>
        </is>
      </c>
      <c r="H20" s="57" t="inlineStr">
        <is>
          <t>MDWQ</t>
        </is>
      </c>
      <c r="I20" s="40" t="inlineStr">
        <is>
          <t>FSS</t>
        </is>
      </c>
      <c r="J20" s="153">
        <f>1.512/J1</f>
        <v/>
      </c>
      <c r="K20" s="151" t="n">
        <v>0</v>
      </c>
      <c r="L20" s="151" t="n">
        <v>0</v>
      </c>
      <c r="M20" s="151" t="n">
        <v>0</v>
      </c>
      <c r="N20" s="151" t="n">
        <v>0</v>
      </c>
      <c r="O20" s="152" t="n">
        <v>0</v>
      </c>
      <c r="P20" s="151">
        <f>SUM(J20:N20)</f>
        <v/>
      </c>
      <c r="Q20" s="48" t="n">
        <v>51407</v>
      </c>
      <c r="R20" s="40" t="n">
        <v>73754</v>
      </c>
      <c r="S20" s="57" t="inlineStr">
        <is>
          <t>#24855</t>
        </is>
      </c>
      <c r="T20" s="28" t="n"/>
      <c r="U20" s="28" t="n"/>
      <c r="V20" s="55" t="n">
        <v>156569</v>
      </c>
      <c r="W20" s="57" t="n"/>
      <c r="X20" s="137" t="n"/>
      <c r="Y20" s="137" t="n"/>
    </row>
    <row r="21" customFormat="1" s="112">
      <c r="B21" s="57" t="inlineStr">
        <is>
          <t>ENA</t>
        </is>
      </c>
      <c r="C21" s="40" t="inlineStr">
        <is>
          <t>Col Gas</t>
        </is>
      </c>
      <c r="D21" s="40" t="n"/>
      <c r="E21" s="109" t="n">
        <v>36100</v>
      </c>
      <c r="F21" s="109" t="n">
        <v>36830</v>
      </c>
      <c r="G21" s="59" t="inlineStr">
        <is>
          <t>734462 Cygnet</t>
        </is>
      </c>
      <c r="H21" s="57" t="inlineStr">
        <is>
          <t>23N-7 Sandusky</t>
        </is>
      </c>
      <c r="I21" s="40" t="inlineStr">
        <is>
          <t>FTS</t>
        </is>
      </c>
      <c r="J21" s="153">
        <f>4.56/J$1</f>
        <v/>
      </c>
      <c r="K21" s="151" t="n">
        <v>0.0132</v>
      </c>
      <c r="L21" s="151" t="n">
        <v>0.0022</v>
      </c>
      <c r="M21" s="151" t="n">
        <v>0.0072</v>
      </c>
      <c r="N21" s="151" t="n">
        <v>0</v>
      </c>
      <c r="O21" s="152" t="n">
        <v>0.02116</v>
      </c>
      <c r="P21" s="151">
        <f>SUM(J21:N21)</f>
        <v/>
      </c>
      <c r="Q21" s="48" t="n">
        <v>61822</v>
      </c>
      <c r="R21" s="40" t="n">
        <v>4000</v>
      </c>
      <c r="S21" s="57" t="inlineStr">
        <is>
          <t>#22429</t>
        </is>
      </c>
      <c r="T21" s="28">
        <f>J21*J$1*R21</f>
        <v/>
      </c>
      <c r="U21" s="28" t="n"/>
      <c r="V21" s="55" t="n">
        <v>162284</v>
      </c>
      <c r="W21" s="57" t="n"/>
      <c r="X21" s="137" t="n"/>
      <c r="Y21" s="137" t="n"/>
    </row>
    <row r="22" customFormat="1" s="112">
      <c r="B22" s="57" t="inlineStr">
        <is>
          <t>ENA</t>
        </is>
      </c>
      <c r="C22" s="40" t="inlineStr">
        <is>
          <t>Col Gas</t>
        </is>
      </c>
      <c r="D22" s="40" t="inlineStr">
        <is>
          <t>CES</t>
        </is>
      </c>
      <c r="E22" s="109" t="n">
        <v>36526</v>
      </c>
      <c r="F22" s="109" t="n">
        <v>36830</v>
      </c>
      <c r="G22" s="57" t="inlineStr">
        <is>
          <t>[Person_14]</t>
        </is>
      </c>
      <c r="H22" s="57" t="inlineStr">
        <is>
          <t>23N-2 COH 5</t>
        </is>
      </c>
      <c r="I22" s="40" t="inlineStr">
        <is>
          <t>FTS</t>
        </is>
      </c>
      <c r="J22" s="153">
        <f>4.56/J$1</f>
        <v/>
      </c>
      <c r="K22" s="151" t="n">
        <v>0.0132</v>
      </c>
      <c r="L22" s="151" t="n">
        <v>0.0022</v>
      </c>
      <c r="M22" s="151" t="n">
        <v>0.0075</v>
      </c>
      <c r="N22" s="151" t="n">
        <v>0</v>
      </c>
      <c r="O22" s="152" t="n">
        <v>0.02116</v>
      </c>
      <c r="P22" s="151">
        <f>SUM(J22:N22)</f>
        <v/>
      </c>
      <c r="Q22" s="48" t="n">
        <v>61825</v>
      </c>
      <c r="R22" s="40" t="n">
        <v>2000</v>
      </c>
      <c r="S22" s="59" t="inlineStr">
        <is>
          <t>#22428; [Person_15] to Op 5, ROFR</t>
        </is>
      </c>
      <c r="T22" s="28">
        <f>J22*J$1*R22</f>
        <v/>
      </c>
      <c r="U22" s="28" t="n"/>
      <c r="V22" s="55" t="n">
        <v>156570</v>
      </c>
      <c r="W22" s="28" t="n"/>
      <c r="X22" s="137" t="n"/>
      <c r="Y22" s="137" t="n"/>
    </row>
    <row r="23" customFormat="1" s="112">
      <c r="B23" s="57" t="inlineStr">
        <is>
          <t>ENA</t>
        </is>
      </c>
      <c r="C23" s="40" t="inlineStr">
        <is>
          <t>Col Gas</t>
        </is>
      </c>
      <c r="D23" s="40" t="inlineStr">
        <is>
          <t>CES</t>
        </is>
      </c>
      <c r="E23" s="109" t="n">
        <v>36526</v>
      </c>
      <c r="F23" s="109" t="n">
        <v>36830</v>
      </c>
      <c r="G23" s="57" t="inlineStr">
        <is>
          <t>F4 Monclova</t>
        </is>
      </c>
      <c r="H23" s="57" t="inlineStr">
        <is>
          <t>23N-2 COH 5</t>
        </is>
      </c>
      <c r="I23" s="40" t="inlineStr">
        <is>
          <t>FTS</t>
        </is>
      </c>
      <c r="J23" s="153">
        <f>4.56/J$1</f>
        <v/>
      </c>
      <c r="K23" s="151" t="n">
        <v>0.0132</v>
      </c>
      <c r="L23" s="151" t="n">
        <v>0.0022</v>
      </c>
      <c r="M23" s="151" t="n">
        <v>0.0075</v>
      </c>
      <c r="N23" s="151" t="n">
        <v>0</v>
      </c>
      <c r="O23" s="152" t="n">
        <v>0.02116</v>
      </c>
      <c r="P23" s="151">
        <f>SUM(J23:N23)</f>
        <v/>
      </c>
      <c r="Q23" s="48" t="n">
        <v>61825</v>
      </c>
      <c r="R23" s="40" t="n">
        <v>5000</v>
      </c>
      <c r="S23" s="59" t="inlineStr">
        <is>
          <t>#22428; [Person_15] to Op 5, ROFR</t>
        </is>
      </c>
      <c r="T23" s="28">
        <f>J23*J$1*R23</f>
        <v/>
      </c>
      <c r="U23" s="28" t="n"/>
      <c r="V23" s="55" t="n">
        <v>156570</v>
      </c>
      <c r="W23" s="28" t="n"/>
      <c r="X23" s="137" t="n"/>
      <c r="Y23" s="137" t="n"/>
    </row>
    <row r="24" customFormat="1" s="112">
      <c r="B24" s="57" t="inlineStr">
        <is>
          <t>ENA</t>
        </is>
      </c>
      <c r="C24" s="40" t="inlineStr">
        <is>
          <t>Col Gas</t>
        </is>
      </c>
      <c r="D24" s="40" t="inlineStr">
        <is>
          <t>CES</t>
        </is>
      </c>
      <c r="E24" s="109" t="n">
        <v>36526</v>
      </c>
      <c r="F24" s="109" t="n">
        <v>36830</v>
      </c>
      <c r="G24" s="57" t="inlineStr">
        <is>
          <t>734462 Crossroads</t>
        </is>
      </c>
      <c r="H24" s="57" t="inlineStr">
        <is>
          <t>23N-2 COH 5</t>
        </is>
      </c>
      <c r="I24" s="40" t="inlineStr">
        <is>
          <t>FTS</t>
        </is>
      </c>
      <c r="J24" s="153">
        <f>4.56/J$1</f>
        <v/>
      </c>
      <c r="K24" s="151" t="n">
        <v>0.0132</v>
      </c>
      <c r="L24" s="151" t="n">
        <v>0.0022</v>
      </c>
      <c r="M24" s="151" t="n">
        <v>0.0075</v>
      </c>
      <c r="N24" s="151" t="n">
        <v>0</v>
      </c>
      <c r="O24" s="152" t="n">
        <v>0.02116</v>
      </c>
      <c r="P24" s="151">
        <f>SUM(J24:N24)</f>
        <v/>
      </c>
      <c r="Q24" s="48" t="n">
        <v>61825</v>
      </c>
      <c r="R24" s="40" t="n">
        <v>1000</v>
      </c>
      <c r="S24" s="59" t="inlineStr">
        <is>
          <t>#22428; [Person_15] to Op 5, ROFR</t>
        </is>
      </c>
      <c r="T24" s="28">
        <f>J24*J$1*R24</f>
        <v/>
      </c>
      <c r="U24" s="28" t="n"/>
      <c r="V24" s="55" t="n">
        <v>156570</v>
      </c>
      <c r="W24" s="28" t="n"/>
      <c r="X24" s="137" t="n"/>
      <c r="Y24" s="137" t="n"/>
    </row>
    <row r="25" customFormat="1" s="112">
      <c r="B25" s="57" t="inlineStr">
        <is>
          <t>ENA</t>
        </is>
      </c>
      <c r="C25" s="40" t="inlineStr">
        <is>
          <t>Col Gas</t>
        </is>
      </c>
      <c r="D25" s="40" t="n"/>
      <c r="E25" s="109" t="n">
        <v>36100</v>
      </c>
      <c r="F25" s="109" t="n">
        <v>36830</v>
      </c>
      <c r="G25" s="57" t="inlineStr">
        <is>
          <t>[Person_14]</t>
        </is>
      </c>
      <c r="H25" s="59" t="inlineStr">
        <is>
          <t>23-4 COH-07 Alliance</t>
        </is>
      </c>
      <c r="I25" s="40" t="inlineStr">
        <is>
          <t>FTS</t>
        </is>
      </c>
      <c r="J25" s="153">
        <f>4.56/J$1</f>
        <v/>
      </c>
      <c r="K25" s="151" t="n">
        <v>0.0132</v>
      </c>
      <c r="L25" s="151" t="n">
        <v>0.0022</v>
      </c>
      <c r="M25" s="151" t="n">
        <v>0.0072</v>
      </c>
      <c r="N25" s="151" t="n">
        <v>0</v>
      </c>
      <c r="O25" s="152" t="n">
        <v>0.02116</v>
      </c>
      <c r="P25" s="151">
        <f>SUM(J25:N25)</f>
        <v/>
      </c>
      <c r="Q25" s="48" t="n">
        <v>61838</v>
      </c>
      <c r="R25" s="40" t="n">
        <v>1000</v>
      </c>
      <c r="S25" s="57" t="inlineStr">
        <is>
          <t>#22422</t>
        </is>
      </c>
      <c r="T25" s="28">
        <f>J25*J$1*R25</f>
        <v/>
      </c>
      <c r="U25" s="28" t="n"/>
      <c r="V25" s="55" t="n">
        <v>156571</v>
      </c>
      <c r="W25" s="57" t="n"/>
      <c r="X25" s="137" t="n"/>
      <c r="Y25" s="137" t="n"/>
    </row>
    <row r="26" customFormat="1" s="112">
      <c r="B26" s="57" t="inlineStr">
        <is>
          <t>ENA</t>
        </is>
      </c>
      <c r="C26" s="40" t="inlineStr">
        <is>
          <t>Col Gas</t>
        </is>
      </c>
      <c r="D26" s="40" t="inlineStr">
        <is>
          <t>CES</t>
        </is>
      </c>
      <c r="E26" s="109" t="n">
        <v>36526</v>
      </c>
      <c r="F26" s="109" t="n">
        <v>36830</v>
      </c>
      <c r="G26" s="57" t="inlineStr">
        <is>
          <t>[Person_14]</t>
        </is>
      </c>
      <c r="H26" s="57" t="inlineStr">
        <is>
          <t>23-4 COH-07-4</t>
        </is>
      </c>
      <c r="I26" s="40" t="inlineStr">
        <is>
          <t>FTS</t>
        </is>
      </c>
      <c r="J26" s="153">
        <f>4.56/J$1</f>
        <v/>
      </c>
      <c r="K26" s="151" t="n">
        <v>0.0132</v>
      </c>
      <c r="L26" s="151" t="n">
        <v>0.0022</v>
      </c>
      <c r="M26" s="151" t="n">
        <v>0.0075</v>
      </c>
      <c r="N26" s="151" t="n">
        <v>0</v>
      </c>
      <c r="O26" s="152" t="n">
        <v>0.02116</v>
      </c>
      <c r="P26" s="151">
        <f>SUM(J26:N26)</f>
        <v/>
      </c>
      <c r="Q26" s="48" t="n">
        <v>61990</v>
      </c>
      <c r="R26" s="40" t="n">
        <v>2000</v>
      </c>
      <c r="S26" s="59" t="inlineStr">
        <is>
          <t>#22747; [Person_15] to contrained Op 7, ROFR</t>
        </is>
      </c>
      <c r="T26" s="28">
        <f>J26*J$1*R26</f>
        <v/>
      </c>
      <c r="U26" s="28" t="n"/>
      <c r="V26" s="55" t="n">
        <v>156573</v>
      </c>
      <c r="W26" s="28" t="n"/>
      <c r="X26" s="137" t="n"/>
      <c r="Y26" s="137" t="n"/>
    </row>
    <row r="27" customFormat="1" s="112">
      <c r="B27" s="57" t="inlineStr">
        <is>
          <t>ENA</t>
        </is>
      </c>
      <c r="C27" s="40" t="inlineStr">
        <is>
          <t>Col Gas</t>
        </is>
      </c>
      <c r="D27" s="40" t="inlineStr">
        <is>
          <t>CES</t>
        </is>
      </c>
      <c r="E27" s="109" t="n">
        <v>36465</v>
      </c>
      <c r="F27" s="109" t="n">
        <v>36891</v>
      </c>
      <c r="G27" s="57" t="n"/>
      <c r="H27" s="57" t="inlineStr">
        <is>
          <t>Coh 7-9</t>
        </is>
      </c>
      <c r="I27" s="40" t="inlineStr">
        <is>
          <t>FTS</t>
        </is>
      </c>
      <c r="J27" s="153">
        <f>3.0417/30.417</f>
        <v/>
      </c>
      <c r="K27" s="151" t="n">
        <v>0.0132</v>
      </c>
      <c r="L27" s="151" t="n">
        <v>0.0022</v>
      </c>
      <c r="M27" s="151" t="n">
        <v>0.0075</v>
      </c>
      <c r="N27" s="151" t="n">
        <v>0</v>
      </c>
      <c r="O27" s="152" t="n">
        <v>0.02116</v>
      </c>
      <c r="P27" s="151">
        <f>SUM(J27:N27)</f>
        <v/>
      </c>
      <c r="Q27" s="48" t="n">
        <v>62164</v>
      </c>
      <c r="R27" s="108" t="n">
        <v>2000</v>
      </c>
      <c r="S27" s="59" t="inlineStr">
        <is>
          <t>#23652</t>
        </is>
      </c>
      <c r="T27" s="28">
        <f>J27*J$1*R27</f>
        <v/>
      </c>
      <c r="U27" s="55" t="n"/>
      <c r="V27" s="137" t="inlineStr">
        <is>
          <t>Just added to march</t>
        </is>
      </c>
      <c r="W27" s="137" t="n"/>
    </row>
    <row r="28" customFormat="1" s="112">
      <c r="B28" s="57" t="inlineStr">
        <is>
          <t>ENA</t>
        </is>
      </c>
      <c r="C28" s="40" t="inlineStr">
        <is>
          <t>Col Gas</t>
        </is>
      </c>
      <c r="D28" s="40" t="inlineStr">
        <is>
          <t>CES / COH</t>
        </is>
      </c>
      <c r="E28" s="109" t="n">
        <v>36617</v>
      </c>
      <c r="F28" s="109" t="n">
        <v>36799</v>
      </c>
      <c r="G28" s="57" t="inlineStr">
        <is>
          <t>STOW</t>
        </is>
      </c>
      <c r="H28" s="57" t="inlineStr">
        <is>
          <t>COH-03, COH-07, COH-05, COH-08</t>
        </is>
      </c>
      <c r="I28" s="40" t="inlineStr">
        <is>
          <t>SST</t>
        </is>
      </c>
      <c r="J28" s="153">
        <f>6.029/J$1</f>
        <v/>
      </c>
      <c r="K28" s="151" t="n">
        <v>0.013</v>
      </c>
      <c r="L28" s="151" t="n">
        <v>0.0022</v>
      </c>
      <c r="M28" s="151" t="n">
        <v>0.0072</v>
      </c>
      <c r="N28" s="151" t="n">
        <v>0</v>
      </c>
      <c r="O28" s="152" t="n">
        <v>0.02116</v>
      </c>
      <c r="P28" s="151">
        <f>SUM(J28:N28)</f>
        <v/>
      </c>
      <c r="Q28" s="48" t="n">
        <v>67693</v>
      </c>
      <c r="R28" s="40" t="n">
        <v>54327</v>
      </c>
      <c r="S28" s="57" t="inlineStr">
        <is>
          <t>#23890</t>
        </is>
      </c>
      <c r="T28" s="28">
        <f>J28*J$1*R28</f>
        <v/>
      </c>
      <c r="U28" s="28" t="n"/>
      <c r="V28" s="55" t="n">
        <v>231378</v>
      </c>
      <c r="W28" s="57" t="n"/>
      <c r="X28" s="137" t="n"/>
      <c r="Y28" s="137" t="n"/>
    </row>
    <row r="29" customFormat="1" s="112">
      <c r="B29" s="57" t="inlineStr">
        <is>
          <t>ENA</t>
        </is>
      </c>
      <c r="C29" s="40" t="inlineStr">
        <is>
          <t>Col Gas</t>
        </is>
      </c>
      <c r="D29" s="40" t="inlineStr">
        <is>
          <t>CES / COH</t>
        </is>
      </c>
      <c r="E29" s="109" t="n">
        <v>36617</v>
      </c>
      <c r="F29" s="109" t="n">
        <v>36981</v>
      </c>
      <c r="G29" s="57" t="inlineStr">
        <is>
          <t>STOW</t>
        </is>
      </c>
      <c r="H29" s="57" t="inlineStr">
        <is>
          <t>MSQ</t>
        </is>
      </c>
      <c r="I29" s="40" t="inlineStr">
        <is>
          <t>FSS</t>
        </is>
      </c>
      <c r="J29" s="153" t="n">
        <v>0.0293</v>
      </c>
      <c r="K29" s="151" t="n">
        <v>0</v>
      </c>
      <c r="L29" s="151" t="n">
        <v>0</v>
      </c>
      <c r="M29" s="151" t="n">
        <v>0</v>
      </c>
      <c r="N29" s="151" t="n">
        <v>0</v>
      </c>
      <c r="O29" s="152" t="n">
        <v>0</v>
      </c>
      <c r="P29" s="151">
        <f>SUM(J29:N29)</f>
        <v/>
      </c>
      <c r="Q29" s="48" t="n">
        <v>67712</v>
      </c>
      <c r="R29" s="40" t="n">
        <v>6050607</v>
      </c>
      <c r="S29" s="57" t="inlineStr">
        <is>
          <t>#28389, Sheet No 29</t>
        </is>
      </c>
      <c r="T29" s="28">
        <f>J29*R29</f>
        <v/>
      </c>
      <c r="U29" s="28" t="n"/>
      <c r="V29" s="55" t="n">
        <v>235876</v>
      </c>
      <c r="W29" s="57" t="n">
        <v>231698</v>
      </c>
      <c r="X29" s="137" t="n"/>
      <c r="Y29" s="137" t="n"/>
    </row>
    <row r="30" customFormat="1" s="112">
      <c r="B30" s="57" t="inlineStr">
        <is>
          <t>ENA</t>
        </is>
      </c>
      <c r="C30" s="40" t="inlineStr">
        <is>
          <t>Col Gas</t>
        </is>
      </c>
      <c r="D30" s="40" t="inlineStr">
        <is>
          <t>CES / COH</t>
        </is>
      </c>
      <c r="E30" s="109" t="n">
        <v>36617</v>
      </c>
      <c r="F30" s="109" t="n">
        <v>36981</v>
      </c>
      <c r="G30" s="57" t="inlineStr">
        <is>
          <t>STOW</t>
        </is>
      </c>
      <c r="H30" s="57" t="inlineStr">
        <is>
          <t>MDWQ</t>
        </is>
      </c>
      <c r="I30" s="40" t="inlineStr">
        <is>
          <t>FSS</t>
        </is>
      </c>
      <c r="J30" s="153" t="n">
        <v>1.524</v>
      </c>
      <c r="K30" s="151" t="n">
        <v>0</v>
      </c>
      <c r="L30" s="151" t="n">
        <v>0</v>
      </c>
      <c r="M30" s="151" t="n">
        <v>0</v>
      </c>
      <c r="N30" s="151" t="n">
        <v>0</v>
      </c>
      <c r="O30" s="152" t="n">
        <v>0</v>
      </c>
      <c r="P30" s="151">
        <f>SUM(J30:N30)</f>
        <v/>
      </c>
      <c r="Q30" s="48" t="n">
        <v>67712</v>
      </c>
      <c r="R30" s="40" t="n">
        <v>108648</v>
      </c>
      <c r="S30" s="57" t="inlineStr">
        <is>
          <t>#28389, Sheet No 29</t>
        </is>
      </c>
      <c r="T30" s="28">
        <f>J30*R30</f>
        <v/>
      </c>
      <c r="U30" s="28" t="n"/>
      <c r="V30" s="55" t="n">
        <v>235876</v>
      </c>
      <c r="W30" s="57" t="n">
        <v>231698</v>
      </c>
      <c r="X30" s="137" t="n"/>
      <c r="Y30" s="137" t="n"/>
    </row>
    <row r="31" customFormat="1" s="112">
      <c r="B31" s="57" t="inlineStr">
        <is>
          <t>ENA</t>
        </is>
      </c>
      <c r="C31" s="40" t="inlineStr">
        <is>
          <t>Col Gas</t>
        </is>
      </c>
      <c r="D31" s="40" t="inlineStr">
        <is>
          <t>CES / COH</t>
        </is>
      </c>
      <c r="E31" s="109" t="n">
        <v>36617</v>
      </c>
      <c r="F31" s="109" t="n">
        <v>36981</v>
      </c>
      <c r="G31" s="57" t="inlineStr">
        <is>
          <t>STOW</t>
        </is>
      </c>
      <c r="H31" s="57" t="inlineStr">
        <is>
          <t>MSQ</t>
        </is>
      </c>
      <c r="I31" s="40" t="inlineStr">
        <is>
          <t>FSS</t>
        </is>
      </c>
      <c r="J31" s="153" t="n">
        <v>0</v>
      </c>
      <c r="K31" s="151" t="n">
        <v>0</v>
      </c>
      <c r="L31" s="151" t="n">
        <v>0</v>
      </c>
      <c r="M31" s="151" t="n">
        <v>0</v>
      </c>
      <c r="N31" s="151" t="n">
        <v>0</v>
      </c>
      <c r="O31" s="152" t="n">
        <v>0</v>
      </c>
      <c r="P31" s="151">
        <f>SUM(J31:N31)</f>
        <v/>
      </c>
      <c r="Q31" s="48" t="n">
        <v>67713</v>
      </c>
      <c r="R31" s="40" t="n">
        <v>0</v>
      </c>
      <c r="S31" s="57" t="inlineStr">
        <is>
          <t>Use to schedule inj and with, billed commodity only.</t>
        </is>
      </c>
      <c r="T31" s="28">
        <f>J31*R31</f>
        <v/>
      </c>
      <c r="U31" s="28" t="n"/>
      <c r="V31" s="55" t="n">
        <v>235876</v>
      </c>
      <c r="W31" s="57" t="n"/>
      <c r="X31" s="137" t="n"/>
      <c r="Y31" s="137" t="n"/>
    </row>
    <row r="32" customFormat="1" s="112">
      <c r="B32" s="57" t="inlineStr">
        <is>
          <t>ENA</t>
        </is>
      </c>
      <c r="C32" s="40" t="inlineStr">
        <is>
          <t>Col Gas</t>
        </is>
      </c>
      <c r="D32" s="40" t="inlineStr">
        <is>
          <t>CES / COH</t>
        </is>
      </c>
      <c r="E32" s="109" t="n">
        <v>36617</v>
      </c>
      <c r="F32" s="109" t="n">
        <v>36981</v>
      </c>
      <c r="G32" s="57" t="inlineStr">
        <is>
          <t>STOW</t>
        </is>
      </c>
      <c r="H32" s="57" t="inlineStr">
        <is>
          <t>MDWQ</t>
        </is>
      </c>
      <c r="I32" s="40" t="inlineStr">
        <is>
          <t>FSS</t>
        </is>
      </c>
      <c r="J32" s="153" t="n">
        <v>0</v>
      </c>
      <c r="K32" s="151" t="n">
        <v>0</v>
      </c>
      <c r="L32" s="151" t="n">
        <v>0</v>
      </c>
      <c r="M32" s="151" t="n">
        <v>0</v>
      </c>
      <c r="N32" s="151" t="n">
        <v>0</v>
      </c>
      <c r="O32" s="152" t="n">
        <v>0</v>
      </c>
      <c r="P32" s="151">
        <f>SUM(J32:N32)</f>
        <v/>
      </c>
      <c r="Q32" s="48" t="n">
        <v>67713</v>
      </c>
      <c r="R32" s="40" t="n">
        <v>0</v>
      </c>
      <c r="S32" s="57" t="inlineStr">
        <is>
          <t>Use to schedule inj and with, billed commodity only.</t>
        </is>
      </c>
      <c r="T32" s="28">
        <f>J32*R32</f>
        <v/>
      </c>
      <c r="U32" s="28" t="n"/>
      <c r="V32" s="55" t="n">
        <v>235876</v>
      </c>
      <c r="W32" s="57" t="n"/>
      <c r="X32" s="137" t="n"/>
      <c r="Y32" s="137" t="n"/>
    </row>
    <row r="33" customFormat="1" s="112">
      <c r="B33" s="57" t="inlineStr">
        <is>
          <t>ENA</t>
        </is>
      </c>
      <c r="C33" s="40" t="inlineStr">
        <is>
          <t>Col Gas</t>
        </is>
      </c>
      <c r="D33" s="40" t="inlineStr">
        <is>
          <t>CES / CVA</t>
        </is>
      </c>
      <c r="E33" s="109" t="n">
        <v>36678</v>
      </c>
      <c r="F33" s="109" t="n">
        <v>37042</v>
      </c>
      <c r="G33" s="57" t="inlineStr">
        <is>
          <t>801 - Leach</t>
        </is>
      </c>
      <c r="H33" s="57" t="inlineStr">
        <is>
          <t>CGV-30</t>
        </is>
      </c>
      <c r="I33" s="40" t="inlineStr">
        <is>
          <t>FTS</t>
        </is>
      </c>
      <c r="J33" s="153">
        <f>6.401/J$1</f>
        <v/>
      </c>
      <c r="K33" s="151" t="n">
        <v>0.0132</v>
      </c>
      <c r="L33" s="151" t="n">
        <v>0.0022</v>
      </c>
      <c r="M33" s="151" t="n">
        <v>0.0072</v>
      </c>
      <c r="N33" s="151" t="n">
        <v>0</v>
      </c>
      <c r="O33" s="152" t="n">
        <v>0.02116</v>
      </c>
      <c r="P33" s="151">
        <f>SUM(J33:N33)</f>
        <v/>
      </c>
      <c r="Q33" s="48" t="n">
        <v>68359</v>
      </c>
      <c r="R33" s="40" t="n">
        <v>285</v>
      </c>
      <c r="S33" s="57" t="inlineStr">
        <is>
          <t>#28933</t>
        </is>
      </c>
      <c r="T33" s="28">
        <f>J33*J$1*R33</f>
        <v/>
      </c>
      <c r="U33" s="28" t="n"/>
      <c r="V33" s="55" t="n">
        <v>271307</v>
      </c>
      <c r="W33" s="57" t="n"/>
      <c r="X33" s="137" t="n"/>
      <c r="Y33" s="137" t="n"/>
    </row>
    <row r="34" customFormat="1" s="112">
      <c r="B34" s="57" t="inlineStr">
        <is>
          <t>ENA</t>
        </is>
      </c>
      <c r="C34" s="40" t="inlineStr">
        <is>
          <t>Col Gas</t>
        </is>
      </c>
      <c r="D34" s="40" t="inlineStr">
        <is>
          <t>CES / CMD</t>
        </is>
      </c>
      <c r="E34" s="109" t="n">
        <v>36678</v>
      </c>
      <c r="F34" s="109" t="n">
        <v>37042</v>
      </c>
      <c r="G34" s="57" t="inlineStr">
        <is>
          <t>801 - Leach</t>
        </is>
      </c>
      <c r="H34" s="57" t="inlineStr">
        <is>
          <t>CMD-08, CMD-04</t>
        </is>
      </c>
      <c r="I34" s="40" t="inlineStr">
        <is>
          <t>FTS</t>
        </is>
      </c>
      <c r="J34" s="153">
        <f>6.401/J$1</f>
        <v/>
      </c>
      <c r="K34" s="151" t="n">
        <v>0.0132</v>
      </c>
      <c r="L34" s="151" t="n">
        <v>0.0022</v>
      </c>
      <c r="M34" s="151" t="n">
        <v>0.0072</v>
      </c>
      <c r="N34" s="151" t="n">
        <v>0</v>
      </c>
      <c r="O34" s="152" t="n">
        <v>0.02116</v>
      </c>
      <c r="P34" s="151">
        <f>SUM(J34:N34)</f>
        <v/>
      </c>
      <c r="Q34" s="48" t="n">
        <v>68384</v>
      </c>
      <c r="R34" s="40" t="n">
        <v>218</v>
      </c>
      <c r="S34" s="57" t="inlineStr">
        <is>
          <t>#28962</t>
        </is>
      </c>
      <c r="T34" s="28">
        <f>J34*J$1*R34</f>
        <v/>
      </c>
      <c r="U34" s="28" t="n"/>
      <c r="V34" s="55" t="n">
        <v>280570</v>
      </c>
      <c r="W34" s="57" t="n"/>
      <c r="X34" s="137" t="n"/>
      <c r="Y34" s="137" t="n"/>
    </row>
    <row r="35" customFormat="1" s="112">
      <c r="B35" s="57" t="inlineStr">
        <is>
          <t>ENA</t>
        </is>
      </c>
      <c r="C35" s="40" t="inlineStr">
        <is>
          <t>Col Gas</t>
        </is>
      </c>
      <c r="D35" s="40" t="inlineStr">
        <is>
          <t>CES / CVA</t>
        </is>
      </c>
      <c r="E35" s="109" t="n">
        <v>36708</v>
      </c>
      <c r="F35" s="109" t="n">
        <v>37072</v>
      </c>
      <c r="G35" s="57" t="inlineStr">
        <is>
          <t>801 - Leach</t>
        </is>
      </c>
      <c r="H35" s="57" t="inlineStr">
        <is>
          <t>CGV-30</t>
        </is>
      </c>
      <c r="I35" s="40" t="inlineStr">
        <is>
          <t>FTS</t>
        </is>
      </c>
      <c r="J35" s="153">
        <f>6.449/J$1</f>
        <v/>
      </c>
      <c r="K35" s="151" t="n">
        <v>0.0132</v>
      </c>
      <c r="L35" s="151" t="n">
        <v>0.0022</v>
      </c>
      <c r="M35" s="151" t="n">
        <v>0.0072</v>
      </c>
      <c r="N35" s="151" t="n">
        <v>0</v>
      </c>
      <c r="O35" s="152" t="n">
        <v>0.02116</v>
      </c>
      <c r="P35" s="151">
        <f>SUM(J35:N35)</f>
        <v/>
      </c>
      <c r="Q35" s="48" t="n">
        <v>68616</v>
      </c>
      <c r="R35" s="40" t="n">
        <v>900</v>
      </c>
      <c r="S35" s="57" t="inlineStr">
        <is>
          <t>#29281</t>
        </is>
      </c>
      <c r="T35" s="28">
        <f>J35*J$1*R35</f>
        <v/>
      </c>
      <c r="U35" s="28" t="n"/>
      <c r="V35" s="55" t="n">
        <v>309723</v>
      </c>
      <c r="W35" s="57" t="inlineStr">
        <is>
          <t>Original Parcel #68613</t>
        </is>
      </c>
      <c r="X35" s="137" t="n"/>
      <c r="Y35" s="137" t="n"/>
    </row>
    <row r="36" customFormat="1" s="112">
      <c r="B36" s="57" t="inlineStr">
        <is>
          <t>ENA</t>
        </is>
      </c>
      <c r="C36" s="40" t="inlineStr">
        <is>
          <t>Col Gas</t>
        </is>
      </c>
      <c r="D36" s="40" t="inlineStr">
        <is>
          <t>CES / CMD</t>
        </is>
      </c>
      <c r="E36" s="109" t="n">
        <v>36708</v>
      </c>
      <c r="F36" s="109" t="n">
        <v>37072</v>
      </c>
      <c r="G36" s="57" t="inlineStr">
        <is>
          <t>801 - Leach</t>
        </is>
      </c>
      <c r="H36" s="57" t="inlineStr">
        <is>
          <t>CMD-08</t>
        </is>
      </c>
      <c r="I36" s="40" t="inlineStr">
        <is>
          <t>FTS</t>
        </is>
      </c>
      <c r="J36" s="153">
        <f>6.449/J$1</f>
        <v/>
      </c>
      <c r="K36" s="151" t="n">
        <v>0.0132</v>
      </c>
      <c r="L36" s="151" t="n">
        <v>0.0022</v>
      </c>
      <c r="M36" s="151" t="n">
        <v>0.0072</v>
      </c>
      <c r="N36" s="151" t="n">
        <v>0</v>
      </c>
      <c r="O36" s="152" t="n">
        <v>0.02116</v>
      </c>
      <c r="P36" s="151">
        <f>SUM(J36:N36)</f>
        <v/>
      </c>
      <c r="Q36" s="48" t="n">
        <v>68635</v>
      </c>
      <c r="R36" s="40" t="n">
        <v>1</v>
      </c>
      <c r="S36" s="57" t="inlineStr">
        <is>
          <t>#29291</t>
        </is>
      </c>
      <c r="T36" s="28">
        <f>J36*J$1*R36</f>
        <v/>
      </c>
      <c r="U36" s="28" t="n"/>
      <c r="V36" s="55" t="n">
        <v>312333</v>
      </c>
      <c r="W36" s="57" t="n"/>
      <c r="X36" s="137" t="n"/>
      <c r="Y36" s="137" t="n"/>
    </row>
    <row r="37" customFormat="1" s="112">
      <c r="B37" s="57" t="inlineStr">
        <is>
          <t>ENA</t>
        </is>
      </c>
      <c r="C37" s="40" t="inlineStr">
        <is>
          <t>Col Gas</t>
        </is>
      </c>
      <c r="D37" s="40" t="inlineStr">
        <is>
          <t>CES / CMD</t>
        </is>
      </c>
      <c r="E37" s="109" t="n">
        <v>36739</v>
      </c>
      <c r="F37" s="109" t="n">
        <v>37103</v>
      </c>
      <c r="G37" s="57" t="inlineStr">
        <is>
          <t>801 - Leach</t>
        </is>
      </c>
      <c r="H37" s="57" t="inlineStr">
        <is>
          <t>CGV-30</t>
        </is>
      </c>
      <c r="I37" s="40" t="inlineStr">
        <is>
          <t>FTS</t>
        </is>
      </c>
      <c r="J37" s="153">
        <f>6.449/J$1</f>
        <v/>
      </c>
      <c r="K37" s="151" t="n">
        <v>0.0132</v>
      </c>
      <c r="L37" s="151" t="n">
        <v>0.0022</v>
      </c>
      <c r="M37" s="151" t="n">
        <v>0.0072</v>
      </c>
      <c r="N37" s="151" t="n">
        <v>0</v>
      </c>
      <c r="O37" s="152" t="n">
        <v>0.02116</v>
      </c>
      <c r="P37" s="151">
        <f>SUM(J37:N37)</f>
        <v/>
      </c>
      <c r="Q37" s="48" t="n">
        <v>64328</v>
      </c>
      <c r="R37" s="40" t="n">
        <v>4</v>
      </c>
      <c r="S37" s="57" t="inlineStr">
        <is>
          <t>#29636</t>
        </is>
      </c>
      <c r="T37" s="28">
        <f>J37*J$1*R37</f>
        <v/>
      </c>
      <c r="U37" s="28" t="n"/>
      <c r="V37" s="55" t="n">
        <v>345108</v>
      </c>
      <c r="W37" s="57" t="n"/>
      <c r="X37" s="137" t="n"/>
      <c r="Y37" s="137" t="n"/>
    </row>
    <row r="38" customFormat="1" s="112">
      <c r="B38" s="57" t="inlineStr">
        <is>
          <t>ENA</t>
        </is>
      </c>
      <c r="C38" s="40" t="inlineStr">
        <is>
          <t>Col Gas</t>
        </is>
      </c>
      <c r="D38" s="40" t="inlineStr">
        <is>
          <t>CES / CMD</t>
        </is>
      </c>
      <c r="E38" s="109" t="n">
        <v>36739</v>
      </c>
      <c r="F38" s="109" t="n">
        <v>37103</v>
      </c>
      <c r="G38" s="57" t="inlineStr">
        <is>
          <t>801 - Leach</t>
        </is>
      </c>
      <c r="H38" s="57" t="inlineStr">
        <is>
          <t>CMD-08, CMD-04</t>
        </is>
      </c>
      <c r="I38" s="40" t="inlineStr">
        <is>
          <t>FTS</t>
        </is>
      </c>
      <c r="J38" s="153">
        <f>6.401/J$1</f>
        <v/>
      </c>
      <c r="K38" s="151" t="n">
        <v>0.0132</v>
      </c>
      <c r="L38" s="151" t="n">
        <v>0.0022</v>
      </c>
      <c r="M38" s="151" t="n">
        <v>0.0072</v>
      </c>
      <c r="N38" s="151" t="n">
        <v>0</v>
      </c>
      <c r="O38" s="152" t="n">
        <v>0.02116</v>
      </c>
      <c r="P38" s="151">
        <f>SUM(J38:N38)</f>
        <v/>
      </c>
      <c r="Q38" s="48" t="n">
        <v>68926</v>
      </c>
      <c r="R38" s="40" t="n">
        <v>4</v>
      </c>
      <c r="S38" s="57" t="inlineStr">
        <is>
          <t>#29635</t>
        </is>
      </c>
      <c r="T38" s="28">
        <f>J38*J$1*R38</f>
        <v/>
      </c>
      <c r="U38" s="28" t="n"/>
      <c r="V38" s="55" t="n">
        <v>345125</v>
      </c>
      <c r="W38" s="57" t="n"/>
      <c r="X38" s="137" t="n"/>
      <c r="Y38" s="137" t="n"/>
    </row>
    <row r="39" customFormat="1" s="112">
      <c r="B39" s="57" t="inlineStr">
        <is>
          <t>ENA</t>
        </is>
      </c>
      <c r="C39" s="40" t="inlineStr">
        <is>
          <t>Col Gas</t>
        </is>
      </c>
      <c r="D39" s="40" t="inlineStr">
        <is>
          <t>CES / CMD</t>
        </is>
      </c>
      <c r="E39" s="109" t="n">
        <v>36404</v>
      </c>
      <c r="F39" s="109" t="n">
        <v>36769</v>
      </c>
      <c r="G39" s="57" t="inlineStr">
        <is>
          <t>801 - Leach</t>
        </is>
      </c>
      <c r="H39" s="57" t="inlineStr">
        <is>
          <t>CMD-08, CMD-04</t>
        </is>
      </c>
      <c r="I39" s="40" t="inlineStr">
        <is>
          <t>FTS</t>
        </is>
      </c>
      <c r="J39" s="153">
        <f>6.449/J$1</f>
        <v/>
      </c>
      <c r="K39" s="151" t="n">
        <v>0.0132</v>
      </c>
      <c r="L39" s="151" t="n">
        <v>0.0022</v>
      </c>
      <c r="M39" s="151" t="n">
        <v>0.0072</v>
      </c>
      <c r="N39" s="151" t="n">
        <v>0</v>
      </c>
      <c r="O39" s="152" t="n">
        <v>0.02116</v>
      </c>
      <c r="P39" s="151">
        <f>SUM(J39:N39)</f>
        <v/>
      </c>
      <c r="Q39" s="48" t="n">
        <v>64651</v>
      </c>
      <c r="R39" s="40" t="n">
        <v>64</v>
      </c>
      <c r="S39" s="57" t="inlineStr">
        <is>
          <t>#26150</t>
        </is>
      </c>
      <c r="T39" s="28">
        <f>J39*J$1*R39</f>
        <v/>
      </c>
      <c r="U39" s="28" t="n"/>
      <c r="V39" s="55" t="n">
        <v>156591</v>
      </c>
      <c r="W39" s="57" t="n"/>
      <c r="X39" s="137" t="n"/>
      <c r="Y39" s="137" t="n"/>
    </row>
    <row r="40" customFormat="1" s="112">
      <c r="B40" s="57" t="inlineStr">
        <is>
          <t>ENA</t>
        </is>
      </c>
      <c r="C40" s="40" t="inlineStr">
        <is>
          <t>Col Gas</t>
        </is>
      </c>
      <c r="D40" s="40" t="inlineStr">
        <is>
          <t>CES / CMD</t>
        </is>
      </c>
      <c r="E40" s="109" t="n">
        <v>36434</v>
      </c>
      <c r="F40" s="109" t="n">
        <v>36799</v>
      </c>
      <c r="G40" s="57" t="inlineStr">
        <is>
          <t>801 - Leach</t>
        </is>
      </c>
      <c r="H40" s="57" t="inlineStr">
        <is>
          <t>CMD-08</t>
        </is>
      </c>
      <c r="I40" s="40" t="inlineStr">
        <is>
          <t>FTS</t>
        </is>
      </c>
      <c r="J40" s="153">
        <f>6.449/J$1</f>
        <v/>
      </c>
      <c r="K40" s="151" t="n">
        <v>0.0132</v>
      </c>
      <c r="L40" s="151" t="n">
        <v>0.0022</v>
      </c>
      <c r="M40" s="151" t="n">
        <v>0.0072</v>
      </c>
      <c r="N40" s="151" t="n">
        <v>0</v>
      </c>
      <c r="O40" s="152" t="n">
        <v>0.02116</v>
      </c>
      <c r="P40" s="151">
        <f>SUM(J40:N40)</f>
        <v/>
      </c>
      <c r="Q40" s="48" t="n">
        <v>64862</v>
      </c>
      <c r="R40" s="40" t="n">
        <v>13</v>
      </c>
      <c r="S40" s="57" t="inlineStr">
        <is>
          <t>#26503</t>
        </is>
      </c>
      <c r="T40" s="28">
        <f>J40*J$1*R40</f>
        <v/>
      </c>
      <c r="U40" s="28" t="n"/>
      <c r="V40" s="55" t="n">
        <v>156592</v>
      </c>
      <c r="W40" s="57" t="n"/>
      <c r="X40" s="137" t="n"/>
      <c r="Y40" s="137" t="n"/>
    </row>
    <row r="41" customFormat="1" s="112">
      <c r="B41" s="57" t="inlineStr">
        <is>
          <t>ENA</t>
        </is>
      </c>
      <c r="C41" s="40" t="inlineStr">
        <is>
          <t>Col Gas</t>
        </is>
      </c>
      <c r="D41" s="40" t="inlineStr">
        <is>
          <t>CES / COH</t>
        </is>
      </c>
      <c r="E41" s="109" t="n">
        <v>36434</v>
      </c>
      <c r="F41" s="109" t="n">
        <v>36799</v>
      </c>
      <c r="G41" s="57" t="inlineStr">
        <is>
          <t>801 - Leach</t>
        </is>
      </c>
      <c r="H41" s="57" t="inlineStr">
        <is>
          <t>COH-08</t>
        </is>
      </c>
      <c r="I41" s="40" t="inlineStr">
        <is>
          <t>FTS</t>
        </is>
      </c>
      <c r="J41" s="153">
        <f>6.372/J$1</f>
        <v/>
      </c>
      <c r="K41" s="151" t="n">
        <v>0.0132</v>
      </c>
      <c r="L41" s="151" t="n">
        <v>0.0022</v>
      </c>
      <c r="M41" s="151" t="n">
        <v>0.0072</v>
      </c>
      <c r="N41" s="151" t="n">
        <v>0</v>
      </c>
      <c r="O41" s="152" t="n">
        <v>0.02116</v>
      </c>
      <c r="P41" s="151">
        <f>SUM(J41:N41)</f>
        <v/>
      </c>
      <c r="Q41" s="48" t="n">
        <v>64939</v>
      </c>
      <c r="R41" s="40" t="n">
        <v>2300</v>
      </c>
      <c r="S41" s="57" t="inlineStr">
        <is>
          <t>#26577</t>
        </is>
      </c>
      <c r="T41" s="28">
        <f>J41*J$1*R41</f>
        <v/>
      </c>
      <c r="U41" s="28" t="n"/>
      <c r="V41" s="55" t="n">
        <v>156593</v>
      </c>
      <c r="W41" s="57" t="n"/>
      <c r="X41" s="137" t="n"/>
      <c r="Y41" s="137" t="n"/>
    </row>
    <row r="42" customFormat="1" s="112">
      <c r="B42" s="57" t="inlineStr">
        <is>
          <t>ENA</t>
        </is>
      </c>
      <c r="C42" s="40" t="inlineStr">
        <is>
          <t>Col Gas</t>
        </is>
      </c>
      <c r="D42" s="40" t="inlineStr">
        <is>
          <t>CES / COH</t>
        </is>
      </c>
      <c r="E42" s="109" t="n">
        <v>36708</v>
      </c>
      <c r="F42" s="109" t="n">
        <v>36799</v>
      </c>
      <c r="G42" s="57" t="inlineStr">
        <is>
          <t>801 - Leach</t>
        </is>
      </c>
      <c r="H42" s="57" t="inlineStr">
        <is>
          <t>COH-08</t>
        </is>
      </c>
      <c r="I42" s="40" t="inlineStr">
        <is>
          <t>FTS</t>
        </is>
      </c>
      <c r="J42" s="153">
        <f>6.372/J$1</f>
        <v/>
      </c>
      <c r="K42" s="151" t="n">
        <v>0.0132</v>
      </c>
      <c r="L42" s="151" t="n">
        <v>0.0022</v>
      </c>
      <c r="M42" s="151" t="n">
        <v>0.0072</v>
      </c>
      <c r="N42" s="151" t="n">
        <v>0</v>
      </c>
      <c r="O42" s="152" t="n">
        <v>0.02116</v>
      </c>
      <c r="P42" s="151">
        <f>SUM(J42:N42)</f>
        <v/>
      </c>
      <c r="Q42" s="48" t="n">
        <v>64939</v>
      </c>
      <c r="R42" s="40" t="n">
        <v>-2300</v>
      </c>
      <c r="S42" s="57" t="inlineStr">
        <is>
          <t>#29259</t>
        </is>
      </c>
      <c r="T42" s="28">
        <f>J42*J$1*R42</f>
        <v/>
      </c>
      <c r="U42" s="28" t="n"/>
      <c r="V42" s="55" t="n">
        <v>319306</v>
      </c>
      <c r="W42" s="57" t="inlineStr">
        <is>
          <t>Release to IGS For TIMET Contract</t>
        </is>
      </c>
      <c r="X42" s="137" t="n"/>
      <c r="Y42" s="137" t="n"/>
    </row>
    <row r="43" customFormat="1" s="112">
      <c r="B43" s="57" t="inlineStr">
        <is>
          <t>ENA</t>
        </is>
      </c>
      <c r="C43" s="40" t="inlineStr">
        <is>
          <t>Col Gas</t>
        </is>
      </c>
      <c r="D43" s="40" t="inlineStr">
        <is>
          <t>CES / CMD</t>
        </is>
      </c>
      <c r="E43" s="109" t="n">
        <v>36465</v>
      </c>
      <c r="F43" s="109" t="n">
        <v>36830</v>
      </c>
      <c r="G43" s="57" t="inlineStr">
        <is>
          <t>801 - Leach</t>
        </is>
      </c>
      <c r="H43" s="57" t="inlineStr">
        <is>
          <t>CMD-08, CMD-04</t>
        </is>
      </c>
      <c r="I43" s="40" t="inlineStr">
        <is>
          <t>FTS</t>
        </is>
      </c>
      <c r="J43" s="153">
        <f>6.449/J$1</f>
        <v/>
      </c>
      <c r="K43" s="151" t="n">
        <v>0.0132</v>
      </c>
      <c r="L43" s="151" t="n">
        <v>0.0022</v>
      </c>
      <c r="M43" s="151" t="n">
        <v>0.0072</v>
      </c>
      <c r="N43" s="151" t="n">
        <v>0</v>
      </c>
      <c r="O43" s="152" t="n">
        <v>0.02116</v>
      </c>
      <c r="P43" s="151">
        <f>SUM(J43:N43)</f>
        <v/>
      </c>
      <c r="Q43" s="48" t="n">
        <v>65026</v>
      </c>
      <c r="R43" s="40" t="n">
        <v>128</v>
      </c>
      <c r="S43" s="57" t="inlineStr">
        <is>
          <t>#26726</t>
        </is>
      </c>
      <c r="T43" s="28">
        <f>J43*J$1*R43</f>
        <v/>
      </c>
      <c r="U43" s="28" t="n"/>
      <c r="V43" s="55" t="n">
        <v>162286</v>
      </c>
      <c r="W43" s="57" t="n"/>
      <c r="X43" s="137" t="n"/>
      <c r="Y43" s="137" t="n"/>
    </row>
    <row r="44" customFormat="1" s="112">
      <c r="B44" s="57" t="inlineStr">
        <is>
          <t>ENA</t>
        </is>
      </c>
      <c r="C44" s="40" t="inlineStr">
        <is>
          <t>Col Gas</t>
        </is>
      </c>
      <c r="D44" s="40" t="inlineStr">
        <is>
          <t>CES / CPA</t>
        </is>
      </c>
      <c r="E44" s="109" t="n">
        <v>36465</v>
      </c>
      <c r="F44" s="109" t="n">
        <v>36830</v>
      </c>
      <c r="G44" s="57" t="inlineStr">
        <is>
          <t>801 - Leach</t>
        </is>
      </c>
      <c r="H44" s="57" t="inlineStr">
        <is>
          <t>CPA-08</t>
        </is>
      </c>
      <c r="I44" s="40" t="inlineStr">
        <is>
          <t>FTS</t>
        </is>
      </c>
      <c r="J44" s="153">
        <f>6.449/J$1</f>
        <v/>
      </c>
      <c r="K44" s="151" t="n">
        <v>0.0132</v>
      </c>
      <c r="L44" s="151" t="n">
        <v>0.0022</v>
      </c>
      <c r="M44" s="151" t="n">
        <v>0.0072</v>
      </c>
      <c r="N44" s="151" t="n">
        <v>0</v>
      </c>
      <c r="O44" s="152" t="n">
        <v>0.02116</v>
      </c>
      <c r="P44" s="151">
        <f>SUM(J44:N44)</f>
        <v/>
      </c>
      <c r="Q44" s="48" t="n">
        <v>65041</v>
      </c>
      <c r="R44" s="40" t="n">
        <v>9619</v>
      </c>
      <c r="S44" s="57" t="inlineStr">
        <is>
          <t>#26754</t>
        </is>
      </c>
      <c r="T44" s="28">
        <f>J44*J$1*R44</f>
        <v/>
      </c>
      <c r="U44" s="28" t="n"/>
      <c r="V44" s="55" t="n">
        <v>162285</v>
      </c>
      <c r="W44" s="57" t="n"/>
      <c r="X44" s="137" t="n"/>
      <c r="Y44" s="137" t="n"/>
    </row>
    <row r="45" customFormat="1" s="112">
      <c r="B45" s="57" t="inlineStr">
        <is>
          <t>ENA</t>
        </is>
      </c>
      <c r="C45" s="40" t="inlineStr">
        <is>
          <t>Col Gas</t>
        </is>
      </c>
      <c r="D45" s="40" t="inlineStr">
        <is>
          <t>CES / CPA</t>
        </is>
      </c>
      <c r="E45" s="109" t="n">
        <v>36465</v>
      </c>
      <c r="F45" s="109" t="n">
        <v>36830</v>
      </c>
      <c r="G45" s="57" t="inlineStr">
        <is>
          <t>801 - Leach</t>
        </is>
      </c>
      <c r="H45" s="57" t="inlineStr">
        <is>
          <t>CPA-04</t>
        </is>
      </c>
      <c r="I45" s="40" t="inlineStr">
        <is>
          <t>FTS</t>
        </is>
      </c>
      <c r="J45" s="153">
        <f>6.449/J$1</f>
        <v/>
      </c>
      <c r="K45" s="151" t="n">
        <v>0.0132</v>
      </c>
      <c r="L45" s="151" t="n">
        <v>0.0022</v>
      </c>
      <c r="M45" s="151" t="n">
        <v>0.0072</v>
      </c>
      <c r="N45" s="151" t="n">
        <v>0</v>
      </c>
      <c r="O45" s="152" t="n">
        <v>0.02116</v>
      </c>
      <c r="P45" s="151">
        <f>SUM(J45:N45)</f>
        <v/>
      </c>
      <c r="Q45" s="48" t="n">
        <v>65042</v>
      </c>
      <c r="R45" s="40" t="n">
        <v>4427</v>
      </c>
      <c r="S45" s="57" t="inlineStr">
        <is>
          <t>#26753</t>
        </is>
      </c>
      <c r="T45" s="28">
        <f>J45*J$1*R45</f>
        <v/>
      </c>
      <c r="U45" s="28" t="n"/>
      <c r="V45" s="55" t="n">
        <v>162287</v>
      </c>
      <c r="W45" s="57" t="n"/>
      <c r="X45" s="137" t="n"/>
      <c r="Y45" s="137" t="n"/>
    </row>
    <row r="46" customFormat="1" s="112">
      <c r="B46" s="57" t="inlineStr">
        <is>
          <t>ENA</t>
        </is>
      </c>
      <c r="C46" s="40" t="inlineStr">
        <is>
          <t>Col Gas</t>
        </is>
      </c>
      <c r="D46" s="40" t="inlineStr">
        <is>
          <t>CES / BG&amp;E</t>
        </is>
      </c>
      <c r="E46" s="109" t="n">
        <v>36465</v>
      </c>
      <c r="F46" s="109" t="n">
        <v>37011</v>
      </c>
      <c r="G46" s="57" t="inlineStr">
        <is>
          <t>801 - Leach</t>
        </is>
      </c>
      <c r="H46" s="57" t="inlineStr">
        <is>
          <t>BG&amp;E-10</t>
        </is>
      </c>
      <c r="I46" s="40" t="inlineStr">
        <is>
          <t>FTS</t>
        </is>
      </c>
      <c r="J46" s="153">
        <f>6.449/J$1</f>
        <v/>
      </c>
      <c r="K46" s="151" t="n">
        <v>0.0132</v>
      </c>
      <c r="L46" s="151" t="n">
        <v>0.0022</v>
      </c>
      <c r="M46" s="151" t="n">
        <v>0.0072</v>
      </c>
      <c r="N46" s="151" t="n">
        <v>0</v>
      </c>
      <c r="O46" s="152" t="n">
        <v>0.02116</v>
      </c>
      <c r="P46" s="151">
        <f>SUM(J46:N46)</f>
        <v/>
      </c>
      <c r="Q46" s="48" t="n">
        <v>65108</v>
      </c>
      <c r="R46" s="40" t="n">
        <v>5000</v>
      </c>
      <c r="S46" s="57" t="inlineStr">
        <is>
          <t>No offer</t>
        </is>
      </c>
      <c r="T46" s="28">
        <f>J46*J$1*R46</f>
        <v/>
      </c>
      <c r="U46" s="28" t="n"/>
      <c r="V46" s="55" t="n">
        <v>163001</v>
      </c>
      <c r="W46" s="57" t="n"/>
      <c r="X46" s="137" t="n"/>
      <c r="Y46" s="137" t="n"/>
    </row>
    <row r="47" customFormat="1" s="112">
      <c r="B47" s="57" t="inlineStr">
        <is>
          <t>ENA</t>
        </is>
      </c>
      <c r="C47" s="40" t="inlineStr">
        <is>
          <t>Col Gas</t>
        </is>
      </c>
      <c r="D47" s="40" t="inlineStr">
        <is>
          <t>CES</t>
        </is>
      </c>
      <c r="E47" s="109" t="n">
        <v>36734</v>
      </c>
      <c r="F47" s="109" t="n">
        <v>36799</v>
      </c>
      <c r="G47" s="57" t="inlineStr">
        <is>
          <t>A05-Delmont</t>
        </is>
      </c>
      <c r="H47" s="57" t="inlineStr">
        <is>
          <t>E9-Young Woman Crk</t>
        </is>
      </c>
      <c r="I47" s="40" t="inlineStr">
        <is>
          <t>FTS</t>
        </is>
      </c>
      <c r="J47" s="153">
        <f>1.0587/J1</f>
        <v/>
      </c>
      <c r="K47" s="151" t="n"/>
      <c r="L47" s="151" t="n"/>
      <c r="M47" s="151" t="n"/>
      <c r="N47" s="151" t="n"/>
      <c r="O47" s="152" t="n"/>
      <c r="P47" s="151" t="n"/>
      <c r="Q47" s="48" t="n">
        <v>68972</v>
      </c>
      <c r="R47" s="40" t="n">
        <v>1000</v>
      </c>
      <c r="S47" s="57" t="inlineStr">
        <is>
          <t>#29578</t>
        </is>
      </c>
      <c r="T47" s="28">
        <f>J47*J$1*R47</f>
        <v/>
      </c>
      <c r="U47" s="28" t="n"/>
      <c r="V47" s="55" t="n">
        <v>346509</v>
      </c>
      <c r="W47" s="57" t="n"/>
      <c r="X47" s="137" t="n"/>
      <c r="Y47" s="137" t="n"/>
    </row>
    <row r="48" customFormat="1" s="112">
      <c r="B48" s="57" t="inlineStr">
        <is>
          <t>ENA</t>
        </is>
      </c>
      <c r="C48" s="40" t="inlineStr">
        <is>
          <t>Col Gas</t>
        </is>
      </c>
      <c r="D48" s="40" t="n"/>
      <c r="E48" s="109" t="n">
        <v>36557</v>
      </c>
      <c r="F48" s="109" t="n">
        <v>36830</v>
      </c>
      <c r="G48" s="57" t="inlineStr">
        <is>
          <t>F4 Monclova</t>
        </is>
      </c>
      <c r="H48" s="57" t="inlineStr">
        <is>
          <t>23N-7 Sandusky</t>
        </is>
      </c>
      <c r="I48" s="40" t="inlineStr">
        <is>
          <t>FTS</t>
        </is>
      </c>
      <c r="J48" s="153">
        <f>4.563/J$1</f>
        <v/>
      </c>
      <c r="K48" s="151" t="n">
        <v>0.0132</v>
      </c>
      <c r="L48" s="151" t="n">
        <v>0.0022</v>
      </c>
      <c r="M48" s="151" t="n">
        <v>0.0072</v>
      </c>
      <c r="N48" s="151" t="n">
        <v>0</v>
      </c>
      <c r="O48" s="152" t="n">
        <v>0.02116</v>
      </c>
      <c r="P48" s="151">
        <f>SUM(J48:N48)</f>
        <v/>
      </c>
      <c r="Q48" s="48" t="n">
        <v>65418</v>
      </c>
      <c r="R48" s="40" t="n">
        <v>500</v>
      </c>
      <c r="S48" s="57" t="inlineStr">
        <is>
          <t>#26722</t>
        </is>
      </c>
      <c r="T48" s="28">
        <f>J48*J$1*R48</f>
        <v/>
      </c>
      <c r="U48" s="28" t="n"/>
      <c r="V48" s="55" t="n">
        <v>156599</v>
      </c>
      <c r="W48" s="57" t="n"/>
      <c r="X48" s="137" t="n"/>
      <c r="Y48" s="137" t="n"/>
    </row>
    <row r="49" customFormat="1" s="112">
      <c r="B49" s="57" t="inlineStr">
        <is>
          <t>ENA</t>
        </is>
      </c>
      <c r="C49" s="40" t="inlineStr">
        <is>
          <t>Col Gas</t>
        </is>
      </c>
      <c r="D49" s="40" t="inlineStr">
        <is>
          <t>CES / CMD</t>
        </is>
      </c>
      <c r="E49" s="109" t="n">
        <v>36557</v>
      </c>
      <c r="F49" s="109" t="n">
        <v>36860</v>
      </c>
      <c r="G49" s="57" t="inlineStr">
        <is>
          <t>801 - Leach</t>
        </is>
      </c>
      <c r="H49" s="57" t="inlineStr">
        <is>
          <t>CMD-08, CMD-04</t>
        </is>
      </c>
      <c r="I49" s="40" t="inlineStr">
        <is>
          <t>FTS</t>
        </is>
      </c>
      <c r="J49" s="153">
        <f>6.449/J$1</f>
        <v/>
      </c>
      <c r="K49" s="151" t="n">
        <v>0.0132</v>
      </c>
      <c r="L49" s="151" t="n">
        <v>0.0022</v>
      </c>
      <c r="M49" s="151" t="n">
        <v>0.0072</v>
      </c>
      <c r="N49" s="151" t="n">
        <v>0</v>
      </c>
      <c r="O49" s="152" t="n">
        <v>0.02116</v>
      </c>
      <c r="P49" s="151">
        <f>SUM(J49:N49)</f>
        <v/>
      </c>
      <c r="Q49" s="48" t="n">
        <v>65556</v>
      </c>
      <c r="R49" s="40" t="n">
        <v>3</v>
      </c>
      <c r="S49" s="57" t="inlineStr">
        <is>
          <t>#27127</t>
        </is>
      </c>
      <c r="T49" s="28">
        <f>J49*J$1*R49</f>
        <v/>
      </c>
      <c r="U49" s="28" t="n"/>
      <c r="V49" s="55" t="n">
        <v>156602</v>
      </c>
      <c r="W49" s="57" t="n"/>
      <c r="X49" s="137" t="n"/>
      <c r="Y49" s="137" t="n"/>
    </row>
    <row r="50" customFormat="1" s="112">
      <c r="B50" s="57" t="inlineStr">
        <is>
          <t>ENA</t>
        </is>
      </c>
      <c r="C50" s="40" t="inlineStr">
        <is>
          <t>Col Gas</t>
        </is>
      </c>
      <c r="D50" s="40" t="inlineStr">
        <is>
          <t>CMD</t>
        </is>
      </c>
      <c r="E50" s="109" t="n">
        <v>36557</v>
      </c>
      <c r="F50" s="109" t="n">
        <v>36922</v>
      </c>
      <c r="G50" s="57" t="inlineStr">
        <is>
          <t>801-Leach</t>
        </is>
      </c>
      <c r="H50" s="57" t="inlineStr">
        <is>
          <t>19-26</t>
        </is>
      </c>
      <c r="I50" s="40" t="inlineStr">
        <is>
          <t>FTS</t>
        </is>
      </c>
      <c r="J50" s="153">
        <f>6.449/J$1</f>
        <v/>
      </c>
      <c r="K50" s="151" t="n"/>
      <c r="L50" s="151" t="n"/>
      <c r="M50" s="151" t="n"/>
      <c r="N50" s="151" t="n"/>
      <c r="O50" s="152" t="n"/>
      <c r="P50" s="151" t="n"/>
      <c r="Q50" s="48" t="n">
        <v>66280</v>
      </c>
      <c r="R50" s="40" t="n">
        <v>1</v>
      </c>
      <c r="S50" s="57" t="inlineStr">
        <is>
          <t>#27772</t>
        </is>
      </c>
      <c r="T50" s="28">
        <f>J50*J$1*R50</f>
        <v/>
      </c>
      <c r="U50" s="28" t="n"/>
      <c r="V50" s="55" t="n">
        <v>156606</v>
      </c>
      <c r="W50" s="57" t="n"/>
      <c r="X50" s="137" t="n"/>
      <c r="Y50" s="137" t="n"/>
    </row>
    <row r="51" customFormat="1" s="112">
      <c r="B51" s="57" t="inlineStr">
        <is>
          <t>ENA</t>
        </is>
      </c>
      <c r="C51" s="40" t="inlineStr">
        <is>
          <t>Col Gas</t>
        </is>
      </c>
      <c r="D51" s="40" t="inlineStr">
        <is>
          <t>CMD</t>
        </is>
      </c>
      <c r="E51" s="109" t="n">
        <v>36557</v>
      </c>
      <c r="F51" s="109" t="n">
        <v>36922</v>
      </c>
      <c r="G51" s="57" t="inlineStr">
        <is>
          <t>801-Leach</t>
        </is>
      </c>
      <c r="H51" s="57" t="inlineStr">
        <is>
          <t>19-27</t>
        </is>
      </c>
      <c r="I51" s="40" t="inlineStr">
        <is>
          <t>FTS</t>
        </is>
      </c>
      <c r="J51" s="153">
        <f>6.449/J$1</f>
        <v/>
      </c>
      <c r="K51" s="151" t="n"/>
      <c r="L51" s="151" t="n"/>
      <c r="M51" s="151" t="n"/>
      <c r="N51" s="151" t="n"/>
      <c r="O51" s="152" t="n"/>
      <c r="P51" s="151" t="n"/>
      <c r="Q51" s="48" t="n">
        <v>66280</v>
      </c>
      <c r="R51" s="40" t="n">
        <v>4</v>
      </c>
      <c r="S51" s="57" t="inlineStr">
        <is>
          <t>#27772</t>
        </is>
      </c>
      <c r="T51" s="28">
        <f>J51*J$1*R51</f>
        <v/>
      </c>
      <c r="U51" s="28" t="n"/>
      <c r="V51" s="55" t="n">
        <v>156606</v>
      </c>
      <c r="W51" s="57" t="n"/>
      <c r="X51" s="137" t="n"/>
      <c r="Y51" s="137" t="n"/>
    </row>
    <row r="52" customFormat="1" s="112">
      <c r="B52" s="57" t="inlineStr">
        <is>
          <t>ENA</t>
        </is>
      </c>
      <c r="C52" s="40" t="inlineStr">
        <is>
          <t>Col Gas</t>
        </is>
      </c>
      <c r="D52" s="40" t="inlineStr">
        <is>
          <t>CMD</t>
        </is>
      </c>
      <c r="E52" s="109" t="n">
        <v>36656</v>
      </c>
      <c r="F52" s="109" t="n">
        <v>36950</v>
      </c>
      <c r="G52" s="57" t="inlineStr">
        <is>
          <t>801-Leach</t>
        </is>
      </c>
      <c r="H52" s="59" t="inlineStr">
        <is>
          <t>19-26</t>
        </is>
      </c>
      <c r="I52" s="40" t="inlineStr">
        <is>
          <t>FTS</t>
        </is>
      </c>
      <c r="J52" s="153" t="n">
        <v>6.449</v>
      </c>
      <c r="K52" s="151" t="n"/>
      <c r="L52" s="151" t="n"/>
      <c r="M52" s="151" t="n"/>
      <c r="N52" s="151" t="n"/>
      <c r="O52" s="152" t="n"/>
      <c r="P52" s="151" t="n"/>
      <c r="Q52" s="48" t="n">
        <v>68308</v>
      </c>
      <c r="R52" s="40" t="n">
        <v>5</v>
      </c>
      <c r="S52" s="57" t="inlineStr">
        <is>
          <t>#27991</t>
        </is>
      </c>
      <c r="T52" s="28">
        <f>+R52*J52</f>
        <v/>
      </c>
      <c r="U52" s="28" t="n"/>
      <c r="V52" s="55" t="n">
        <v>262094</v>
      </c>
      <c r="W52" s="57" t="n"/>
      <c r="X52" s="137" t="n"/>
      <c r="Y52" s="137" t="n"/>
    </row>
    <row r="53" customFormat="1" s="112">
      <c r="B53" s="57" t="inlineStr">
        <is>
          <t>ENA</t>
        </is>
      </c>
      <c r="C53" s="40" t="inlineStr">
        <is>
          <t>Col Gas</t>
        </is>
      </c>
      <c r="D53" s="40" t="inlineStr">
        <is>
          <t>CMD</t>
        </is>
      </c>
      <c r="E53" s="109" t="n">
        <v>36656</v>
      </c>
      <c r="F53" s="109" t="n">
        <v>36950</v>
      </c>
      <c r="G53" s="57" t="inlineStr">
        <is>
          <t>801-Leach</t>
        </is>
      </c>
      <c r="H53" s="59" t="inlineStr">
        <is>
          <t>19-27</t>
        </is>
      </c>
      <c r="I53" s="40" t="inlineStr">
        <is>
          <t>FTS</t>
        </is>
      </c>
      <c r="J53" s="153" t="n">
        <v>6.449</v>
      </c>
      <c r="K53" s="151" t="n"/>
      <c r="L53" s="151" t="n"/>
      <c r="M53" s="151" t="n"/>
      <c r="N53" s="151" t="n"/>
      <c r="O53" s="152" t="n"/>
      <c r="P53" s="151" t="n"/>
      <c r="Q53" s="48" t="n">
        <v>68308</v>
      </c>
      <c r="R53" s="40" t="n">
        <v>4</v>
      </c>
      <c r="S53" s="57" t="inlineStr">
        <is>
          <t>#27991</t>
        </is>
      </c>
      <c r="T53" s="28">
        <f>+R53*J53</f>
        <v/>
      </c>
      <c r="U53" s="28" t="n"/>
      <c r="V53" s="55" t="n">
        <v>262094</v>
      </c>
      <c r="W53" s="57" t="n"/>
      <c r="X53" s="137" t="n"/>
      <c r="Y53" s="137" t="n"/>
    </row>
    <row r="54" customFormat="1" s="112">
      <c r="B54" s="57" t="inlineStr">
        <is>
          <t>ENA</t>
        </is>
      </c>
      <c r="C54" s="40" t="inlineStr">
        <is>
          <t>Col Gas</t>
        </is>
      </c>
      <c r="D54" s="40" t="inlineStr">
        <is>
          <t>CMD</t>
        </is>
      </c>
      <c r="E54" s="109" t="n">
        <v>36708</v>
      </c>
      <c r="F54" s="109" t="n">
        <v>37072</v>
      </c>
      <c r="G54" s="57" t="inlineStr">
        <is>
          <t>Rayne</t>
        </is>
      </c>
      <c r="H54" s="57" t="inlineStr">
        <is>
          <t>Leach</t>
        </is>
      </c>
      <c r="I54" s="40" t="inlineStr">
        <is>
          <t>FTS-1</t>
        </is>
      </c>
      <c r="J54" s="153">
        <f>3.145/J$1</f>
        <v/>
      </c>
      <c r="K54" s="151" t="n">
        <v>0.0132</v>
      </c>
      <c r="L54" s="151" t="n">
        <v>0.0022</v>
      </c>
      <c r="M54" s="151" t="n">
        <v>0</v>
      </c>
      <c r="N54" s="151" t="n">
        <v>0</v>
      </c>
      <c r="O54" s="152" t="n">
        <v>0.02116</v>
      </c>
      <c r="P54" s="151">
        <f>SUM(J54:N54)</f>
        <v/>
      </c>
      <c r="Q54" s="48" t="n">
        <v>68635</v>
      </c>
      <c r="R54" s="40" t="n">
        <v>1</v>
      </c>
      <c r="S54" s="57" t="inlineStr">
        <is>
          <t>#29290</t>
        </is>
      </c>
      <c r="T54" s="28">
        <f>J54*J$1*R54</f>
        <v/>
      </c>
      <c r="U54" s="28" t="n"/>
      <c r="V54" s="55" t="n">
        <v>312333</v>
      </c>
      <c r="W54" s="57" t="n"/>
      <c r="X54" s="137" t="n"/>
      <c r="Y54" s="137" t="n"/>
    </row>
    <row r="55" customFormat="1" s="112">
      <c r="B55" s="57" t="inlineStr">
        <is>
          <t>ENA</t>
        </is>
      </c>
      <c r="C55" s="40" t="inlineStr">
        <is>
          <t>Col Gas</t>
        </is>
      </c>
      <c r="D55" s="40" t="inlineStr">
        <is>
          <t>TCO</t>
        </is>
      </c>
      <c r="E55" s="109" t="n">
        <v>36617</v>
      </c>
      <c r="F55" s="109" t="inlineStr">
        <is>
          <t>evergreen</t>
        </is>
      </c>
      <c r="G55" s="57" t="inlineStr">
        <is>
          <t>AS Pooling Agreement</t>
        </is>
      </c>
      <c r="H55" s="57" t="n"/>
      <c r="I55" s="40" t="inlineStr">
        <is>
          <t>AS</t>
        </is>
      </c>
      <c r="J55" s="153" t="n"/>
      <c r="K55" s="151" t="n"/>
      <c r="L55" s="151" t="n"/>
      <c r="M55" s="151" t="n"/>
      <c r="N55" s="151" t="n"/>
      <c r="O55" s="152" t="n"/>
      <c r="P55" s="151" t="n"/>
      <c r="Q55" s="48" t="n">
        <v>66917</v>
      </c>
      <c r="R55" s="40" t="n"/>
      <c r="S55" s="57" t="n"/>
      <c r="T55" s="28" t="n"/>
      <c r="U55" s="28" t="n"/>
      <c r="V55" s="55" t="n">
        <v>228085</v>
      </c>
      <c r="W55" s="57" t="n"/>
      <c r="X55" s="137" t="n"/>
      <c r="Y55" s="137" t="n"/>
    </row>
    <row r="56" customFormat="1" s="112">
      <c r="B56" s="57" t="inlineStr">
        <is>
          <t>ENA</t>
        </is>
      </c>
      <c r="C56" s="40" t="inlineStr">
        <is>
          <t>Col Gas</t>
        </is>
      </c>
      <c r="D56" s="40" t="inlineStr">
        <is>
          <t>CMD</t>
        </is>
      </c>
      <c r="E56" s="109" t="n">
        <v>36617</v>
      </c>
      <c r="F56" s="109" t="n">
        <v>36981</v>
      </c>
      <c r="G56" s="57" t="inlineStr">
        <is>
          <t>801-Leach</t>
        </is>
      </c>
      <c r="H56" s="57" t="inlineStr">
        <is>
          <t>19-26</t>
        </is>
      </c>
      <c r="I56" s="40" t="inlineStr">
        <is>
          <t>FTS</t>
        </is>
      </c>
      <c r="J56" s="153" t="n">
        <v>6.401</v>
      </c>
      <c r="K56" s="151" t="n"/>
      <c r="L56" s="151" t="n"/>
      <c r="M56" s="151" t="n"/>
      <c r="N56" s="151" t="n"/>
      <c r="O56" s="152" t="n"/>
      <c r="P56" s="151" t="n"/>
      <c r="Q56" s="48" t="n">
        <v>66939</v>
      </c>
      <c r="R56" s="40" t="n">
        <v>5</v>
      </c>
      <c r="S56" s="57" t="inlineStr">
        <is>
          <t>#28332</t>
        </is>
      </c>
      <c r="T56" s="28">
        <f>+R56*J56</f>
        <v/>
      </c>
      <c r="U56" s="28" t="n"/>
      <c r="V56" s="55" t="n"/>
      <c r="W56" s="57" t="n"/>
      <c r="X56" s="137" t="n"/>
      <c r="Y56" s="137" t="n"/>
    </row>
    <row r="57" customFormat="1" s="112">
      <c r="B57" s="57" t="inlineStr">
        <is>
          <t>ENA</t>
        </is>
      </c>
      <c r="C57" s="40" t="inlineStr">
        <is>
          <t>Col Gas</t>
        </is>
      </c>
      <c r="D57" s="40" t="inlineStr">
        <is>
          <t>CMD</t>
        </is>
      </c>
      <c r="E57" s="109" t="n">
        <v>36617</v>
      </c>
      <c r="F57" s="109" t="n">
        <v>36981</v>
      </c>
      <c r="G57" s="57" t="inlineStr">
        <is>
          <t>801-Leach</t>
        </is>
      </c>
      <c r="H57" s="57" t="inlineStr">
        <is>
          <t>19-27</t>
        </is>
      </c>
      <c r="I57" s="40" t="inlineStr">
        <is>
          <t>FTS</t>
        </is>
      </c>
      <c r="J57" s="153" t="n">
        <v>6.401</v>
      </c>
      <c r="K57" s="151" t="n"/>
      <c r="L57" s="151" t="n"/>
      <c r="M57" s="151" t="n"/>
      <c r="N57" s="151" t="n"/>
      <c r="O57" s="152" t="n"/>
      <c r="P57" s="151" t="n"/>
      <c r="Q57" s="48" t="n">
        <v>66939</v>
      </c>
      <c r="R57" s="40" t="n">
        <v>27</v>
      </c>
      <c r="S57" s="57" t="inlineStr">
        <is>
          <t>#28332</t>
        </is>
      </c>
      <c r="T57" s="28">
        <f>+R57*J57</f>
        <v/>
      </c>
      <c r="U57" s="28" t="n"/>
      <c r="V57" s="55" t="n"/>
      <c r="W57" s="57" t="n"/>
      <c r="X57" s="137" t="n"/>
      <c r="Y57" s="137" t="n"/>
    </row>
    <row r="58" customFormat="1" s="112">
      <c r="B58" s="57" t="inlineStr">
        <is>
          <t>ENA</t>
        </is>
      </c>
      <c r="C58" s="40" t="inlineStr">
        <is>
          <t>Col Gas</t>
        </is>
      </c>
      <c r="D58" s="40" t="inlineStr">
        <is>
          <t>CMD</t>
        </is>
      </c>
      <c r="E58" s="109" t="n">
        <v>36617</v>
      </c>
      <c r="F58" s="109" t="n">
        <v>36981</v>
      </c>
      <c r="G58" s="57" t="inlineStr">
        <is>
          <t>801-Leach</t>
        </is>
      </c>
      <c r="H58" s="57" t="inlineStr">
        <is>
          <t>19-32</t>
        </is>
      </c>
      <c r="I58" s="40" t="inlineStr">
        <is>
          <t>FTS</t>
        </is>
      </c>
      <c r="J58" s="153" t="n">
        <v>6.401</v>
      </c>
      <c r="K58" s="151" t="n"/>
      <c r="L58" s="151" t="n"/>
      <c r="M58" s="151" t="n"/>
      <c r="N58" s="151" t="n"/>
      <c r="O58" s="152" t="n"/>
      <c r="P58" s="151" t="n"/>
      <c r="Q58" s="48" t="n">
        <v>66939</v>
      </c>
      <c r="R58" s="40" t="n">
        <v>3</v>
      </c>
      <c r="S58" s="57" t="inlineStr">
        <is>
          <t>#28332</t>
        </is>
      </c>
      <c r="T58" s="28">
        <f>+R58*J58</f>
        <v/>
      </c>
      <c r="U58" s="28" t="n"/>
      <c r="V58" s="55" t="n"/>
      <c r="W58" s="57" t="n"/>
      <c r="X58" s="137" t="n"/>
      <c r="Y58" s="137" t="n"/>
    </row>
    <row r="59" customFormat="1" s="112">
      <c r="B59" s="57" t="inlineStr">
        <is>
          <t>ENA</t>
        </is>
      </c>
      <c r="C59" s="40" t="inlineStr">
        <is>
          <t>Col Gas</t>
        </is>
      </c>
      <c r="D59" s="40" t="inlineStr">
        <is>
          <t>CMD</t>
        </is>
      </c>
      <c r="E59" s="109" t="n">
        <v>36617</v>
      </c>
      <c r="F59" s="109" t="n">
        <v>36981</v>
      </c>
      <c r="G59" s="57" t="inlineStr">
        <is>
          <t>801-Leach</t>
        </is>
      </c>
      <c r="H59" s="57" t="inlineStr">
        <is>
          <t>19E</t>
        </is>
      </c>
      <c r="I59" s="40" t="inlineStr">
        <is>
          <t>FTS</t>
        </is>
      </c>
      <c r="J59" s="153" t="n">
        <v>6.401</v>
      </c>
      <c r="K59" s="151" t="n"/>
      <c r="L59" s="151" t="n"/>
      <c r="M59" s="151" t="n"/>
      <c r="N59" s="151" t="n"/>
      <c r="O59" s="152" t="n"/>
      <c r="P59" s="151" t="n"/>
      <c r="Q59" s="48" t="n">
        <v>66939</v>
      </c>
      <c r="R59" s="40" t="n">
        <v>17</v>
      </c>
      <c r="S59" s="57" t="inlineStr">
        <is>
          <t>#28332</t>
        </is>
      </c>
      <c r="T59" s="28">
        <f>+R59*J59</f>
        <v/>
      </c>
      <c r="U59" s="28" t="n"/>
      <c r="V59" s="55" t="n"/>
      <c r="W59" s="57" t="n"/>
      <c r="X59" s="137" t="n"/>
      <c r="Y59" s="137" t="n"/>
    </row>
    <row r="60" customFormat="1" s="112">
      <c r="B60" s="57" t="inlineStr">
        <is>
          <t>ENA</t>
        </is>
      </c>
      <c r="C60" s="40" t="inlineStr">
        <is>
          <t>Col Gas</t>
        </is>
      </c>
      <c r="D60" s="40" t="inlineStr">
        <is>
          <t>CPA</t>
        </is>
      </c>
      <c r="E60" s="109" t="n">
        <v>36617</v>
      </c>
      <c r="F60" s="109" t="n">
        <v>36981</v>
      </c>
      <c r="G60" s="57" t="inlineStr">
        <is>
          <t>801-Leach</t>
        </is>
      </c>
      <c r="H60" s="57" t="inlineStr">
        <is>
          <t>25-36</t>
        </is>
      </c>
      <c r="I60" s="40" t="inlineStr">
        <is>
          <t>FTS</t>
        </is>
      </c>
      <c r="J60" s="153" t="n">
        <v>6.401</v>
      </c>
      <c r="K60" s="151" t="n"/>
      <c r="L60" s="151" t="n"/>
      <c r="M60" s="151" t="n"/>
      <c r="N60" s="151" t="n"/>
      <c r="O60" s="152" t="n"/>
      <c r="P60" s="151" t="n"/>
      <c r="Q60" s="48" t="n">
        <v>66940</v>
      </c>
      <c r="R60" s="40" t="n">
        <v>1</v>
      </c>
      <c r="S60" s="59" t="inlineStr">
        <is>
          <t>#28331</t>
        </is>
      </c>
      <c r="T60" s="28">
        <f>+R60*J60</f>
        <v/>
      </c>
      <c r="U60" s="28" t="n"/>
      <c r="V60" s="55" t="n">
        <v>228134</v>
      </c>
      <c r="W60" s="57" t="n"/>
      <c r="X60" s="137" t="n"/>
      <c r="Y60" s="137" t="n"/>
    </row>
    <row r="61" customFormat="1" s="112">
      <c r="B61" s="57" t="inlineStr">
        <is>
          <t>ENA</t>
        </is>
      </c>
      <c r="C61" s="40" t="inlineStr">
        <is>
          <t>Col Gas</t>
        </is>
      </c>
      <c r="D61" s="40" t="inlineStr">
        <is>
          <t>CPA</t>
        </is>
      </c>
      <c r="E61" s="109" t="n">
        <v>36617</v>
      </c>
      <c r="F61" s="109" t="n">
        <v>36981</v>
      </c>
      <c r="G61" s="57" t="inlineStr">
        <is>
          <t>801-Leach</t>
        </is>
      </c>
      <c r="H61" s="57" t="inlineStr">
        <is>
          <t>25-39</t>
        </is>
      </c>
      <c r="I61" s="40" t="inlineStr">
        <is>
          <t>FTS</t>
        </is>
      </c>
      <c r="J61" s="153" t="n">
        <v>6.401</v>
      </c>
      <c r="K61" s="151" t="n"/>
      <c r="L61" s="151" t="n"/>
      <c r="M61" s="151" t="n"/>
      <c r="N61" s="151" t="n"/>
      <c r="O61" s="152" t="n"/>
      <c r="P61" s="151" t="n"/>
      <c r="Q61" s="48" t="n">
        <v>66940</v>
      </c>
      <c r="R61" s="40" t="n">
        <v>1</v>
      </c>
      <c r="S61" s="59" t="inlineStr">
        <is>
          <t>#28331</t>
        </is>
      </c>
      <c r="T61" s="28">
        <f>+R61*J61</f>
        <v/>
      </c>
      <c r="U61" s="28" t="n"/>
      <c r="V61" s="55" t="n">
        <v>228134</v>
      </c>
      <c r="W61" s="57" t="n"/>
      <c r="X61" s="137" t="n"/>
      <c r="Y61" s="137" t="n"/>
    </row>
    <row r="62" customFormat="1" s="112">
      <c r="B62" s="57" t="inlineStr">
        <is>
          <t>ENA</t>
        </is>
      </c>
      <c r="C62" s="40" t="inlineStr">
        <is>
          <t>Col Gas</t>
        </is>
      </c>
      <c r="D62" s="40" t="inlineStr">
        <is>
          <t>CPA</t>
        </is>
      </c>
      <c r="E62" s="109" t="n">
        <v>36647</v>
      </c>
      <c r="F62" s="109" t="n">
        <v>37011</v>
      </c>
      <c r="G62" s="57" t="inlineStr">
        <is>
          <t>a05-Delmont</t>
        </is>
      </c>
      <c r="H62" s="57" t="inlineStr">
        <is>
          <t>25-26</t>
        </is>
      </c>
      <c r="I62" s="40" t="inlineStr">
        <is>
          <t>FTS</t>
        </is>
      </c>
      <c r="J62" s="153">
        <f>6.401/J1</f>
        <v/>
      </c>
      <c r="K62" s="151" t="n"/>
      <c r="L62" s="151" t="n"/>
      <c r="M62" s="151" t="n"/>
      <c r="N62" s="151" t="n"/>
      <c r="O62" s="152" t="n"/>
      <c r="P62" s="151" t="n"/>
      <c r="Q62" s="48" t="n">
        <v>68188</v>
      </c>
      <c r="R62" s="40" t="n">
        <v>1</v>
      </c>
      <c r="S62" s="57" t="inlineStr">
        <is>
          <t>#28742</t>
        </is>
      </c>
      <c r="T62" s="28">
        <f>+J62*R62*13</f>
        <v/>
      </c>
      <c r="U62" s="28" t="n"/>
      <c r="V62" s="55" t="n">
        <v>253195</v>
      </c>
      <c r="W62" s="57" t="n"/>
      <c r="X62" s="137" t="n"/>
      <c r="Y62" s="137" t="n"/>
    </row>
    <row r="63" customFormat="1" s="112">
      <c r="B63" s="57" t="inlineStr">
        <is>
          <t>ENA</t>
        </is>
      </c>
      <c r="C63" s="40" t="inlineStr">
        <is>
          <t>Col Gas</t>
        </is>
      </c>
      <c r="D63" s="40" t="inlineStr">
        <is>
          <t>CGAS</t>
        </is>
      </c>
      <c r="E63" s="109" t="n">
        <v>36312</v>
      </c>
      <c r="F63" s="109" t="n">
        <v>37011</v>
      </c>
      <c r="G63" s="59" t="inlineStr">
        <is>
          <t>801 - Leach</t>
        </is>
      </c>
      <c r="H63" s="59" t="inlineStr">
        <is>
          <t>4 BG&amp;E</t>
        </is>
      </c>
      <c r="I63" s="40" t="inlineStr">
        <is>
          <t>FTS</t>
        </is>
      </c>
      <c r="J63" s="153" t="n"/>
      <c r="K63" s="151" t="n"/>
      <c r="L63" s="151" t="n"/>
      <c r="M63" s="151" t="n"/>
      <c r="N63" s="151" t="n"/>
      <c r="O63" s="152" t="n"/>
      <c r="P63" s="151" t="n"/>
      <c r="Q63" s="48" t="n">
        <v>65403</v>
      </c>
      <c r="R63" s="40" t="n"/>
      <c r="S63" s="57" t="inlineStr">
        <is>
          <t>#26714 ENA purchased from CES</t>
        </is>
      </c>
      <c r="T63" s="28" t="n"/>
      <c r="U63" s="28" t="n"/>
      <c r="V63" s="55" t="n"/>
      <c r="W63" s="57" t="inlineStr">
        <is>
          <t>ENA Bought 19,293 @.18 see annuity deal 327906</t>
        </is>
      </c>
      <c r="X63" s="137" t="n"/>
      <c r="Y63" s="137" t="n"/>
    </row>
    <row r="64" customFormat="1" s="112">
      <c r="B64" s="57" t="inlineStr">
        <is>
          <t>ENA</t>
        </is>
      </c>
      <c r="C64" s="40" t="inlineStr">
        <is>
          <t>Col Gas</t>
        </is>
      </c>
      <c r="D64" s="40" t="inlineStr">
        <is>
          <t>CVA</t>
        </is>
      </c>
      <c r="E64" s="109" t="n">
        <v>36739</v>
      </c>
      <c r="F64" s="109" t="n">
        <v>37103</v>
      </c>
      <c r="G64" s="57" t="inlineStr">
        <is>
          <t>801-Leach</t>
        </is>
      </c>
      <c r="H64" s="57" t="inlineStr">
        <is>
          <t>CGV-10-30</t>
        </is>
      </c>
      <c r="I64" s="40" t="inlineStr">
        <is>
          <t>FTS</t>
        </is>
      </c>
      <c r="J64" s="153" t="n">
        <v>6.401</v>
      </c>
      <c r="K64" s="151" t="n"/>
      <c r="L64" s="151" t="n"/>
      <c r="M64" s="151" t="n"/>
      <c r="N64" s="151" t="n"/>
      <c r="O64" s="152" t="n"/>
      <c r="P64" s="151" t="n"/>
      <c r="Q64" s="48" t="n">
        <v>68928</v>
      </c>
      <c r="R64" s="40" t="n">
        <v>47</v>
      </c>
      <c r="S64" s="57" t="inlineStr">
        <is>
          <t>#29636</t>
        </is>
      </c>
      <c r="T64" s="28">
        <f>+J64*R64</f>
        <v/>
      </c>
      <c r="U64" s="28" t="n"/>
      <c r="V64" s="55" t="n">
        <v>351966</v>
      </c>
      <c r="W64" s="57" t="n"/>
      <c r="X64" s="137" t="n"/>
      <c r="Y64" s="137" t="n"/>
    </row>
    <row r="65" customFormat="1" s="112">
      <c r="B65" s="57" t="inlineStr">
        <is>
          <t>ENA</t>
        </is>
      </c>
      <c r="C65" s="40" t="inlineStr">
        <is>
          <t>Col Gas</t>
        </is>
      </c>
      <c r="D65" s="40" t="inlineStr">
        <is>
          <t>CMD</t>
        </is>
      </c>
      <c r="E65" s="109" t="n">
        <v>36770</v>
      </c>
      <c r="F65" s="109" t="n">
        <v>37134</v>
      </c>
      <c r="G65" s="57" t="inlineStr">
        <is>
          <t>801-Leach</t>
        </is>
      </c>
      <c r="H65" s="57" t="inlineStr">
        <is>
          <t>19e, 19-32, 19-27, 19-26</t>
        </is>
      </c>
      <c r="I65" s="40" t="inlineStr">
        <is>
          <t>FTS</t>
        </is>
      </c>
      <c r="J65" s="153" t="n">
        <v>6.401</v>
      </c>
      <c r="K65" s="151" t="n"/>
      <c r="L65" s="151" t="n"/>
      <c r="M65" s="151" t="n"/>
      <c r="N65" s="151" t="n"/>
      <c r="O65" s="152" t="n"/>
      <c r="P65" s="151" t="n"/>
      <c r="Q65" s="48" t="n">
        <v>69144</v>
      </c>
      <c r="R65" s="40" t="n">
        <v>62</v>
      </c>
      <c r="S65" s="57" t="inlineStr">
        <is>
          <t>#29880</t>
        </is>
      </c>
      <c r="T65" s="28">
        <f>+J65*R65</f>
        <v/>
      </c>
      <c r="U65" s="28" t="n"/>
      <c r="V65" s="55" t="n"/>
      <c r="W65" s="57" t="n"/>
      <c r="X65" s="137" t="n"/>
      <c r="Y65" s="137" t="n"/>
    </row>
    <row r="66" customFormat="1" s="112">
      <c r="B66" s="57" t="inlineStr">
        <is>
          <t>ENA</t>
        </is>
      </c>
      <c r="C66" s="40" t="inlineStr">
        <is>
          <t>Col Gas</t>
        </is>
      </c>
      <c r="D66" s="40" t="inlineStr">
        <is>
          <t>CVA</t>
        </is>
      </c>
      <c r="E66" s="109" t="n">
        <v>36647</v>
      </c>
      <c r="F66" s="109" t="n">
        <v>37011</v>
      </c>
      <c r="G66" s="57" t="inlineStr">
        <is>
          <t>801-Leach</t>
        </is>
      </c>
      <c r="H66" s="57" t="inlineStr">
        <is>
          <t>46-30 OPT 10-30</t>
        </is>
      </c>
      <c r="I66" s="40" t="inlineStr">
        <is>
          <t>FTS</t>
        </is>
      </c>
      <c r="J66" s="153" t="n">
        <v>6.401</v>
      </c>
      <c r="K66" s="151" t="n"/>
      <c r="L66" s="151" t="n"/>
      <c r="M66" s="151" t="n"/>
      <c r="N66" s="151" t="n"/>
      <c r="O66" s="152" t="n"/>
      <c r="P66" s="151" t="n"/>
      <c r="Q66" s="48" t="n">
        <v>68257</v>
      </c>
      <c r="R66" s="40" t="n">
        <v>21</v>
      </c>
      <c r="S66" s="57" t="inlineStr">
        <is>
          <t>#28631</t>
        </is>
      </c>
      <c r="T66" s="28">
        <f>+R66*J66</f>
        <v/>
      </c>
      <c r="U66" s="28" t="n"/>
      <c r="V66" s="55" t="n">
        <v>254718</v>
      </c>
      <c r="W66" s="57" t="n"/>
      <c r="X66" s="137" t="n"/>
      <c r="Y66" s="137" t="n"/>
    </row>
    <row r="67">
      <c r="T67" s="28">
        <f>+R67*J67</f>
        <v/>
      </c>
    </row>
    <row r="68">
      <c r="B68" s="10" t="inlineStr">
        <is>
          <t> </t>
        </is>
      </c>
      <c r="C68" s="11" t="inlineStr">
        <is>
          <t> </t>
        </is>
      </c>
      <c r="D68" s="11" t="inlineStr">
        <is>
          <t> </t>
        </is>
      </c>
      <c r="E68" s="13" t="inlineStr">
        <is>
          <t> </t>
        </is>
      </c>
      <c r="F68" s="13" t="inlineStr">
        <is>
          <t> </t>
        </is>
      </c>
      <c r="G68" s="10" t="inlineStr">
        <is>
          <t> </t>
        </is>
      </c>
      <c r="H68" s="30" t="inlineStr">
        <is>
          <t> </t>
        </is>
      </c>
      <c r="I68" s="11" t="inlineStr">
        <is>
          <t> </t>
        </is>
      </c>
      <c r="J68" s="162" t="n"/>
      <c r="K68" s="163" t="n"/>
      <c r="L68" s="163" t="n"/>
      <c r="M68" s="163" t="n"/>
      <c r="N68" s="163" t="n"/>
      <c r="O68" s="164" t="n"/>
      <c r="P68" s="163" t="n"/>
      <c r="Q68" s="26" t="inlineStr">
        <is>
          <t> </t>
        </is>
      </c>
      <c r="R68" s="11">
        <f>SUM(R31:R66)</f>
        <v/>
      </c>
      <c r="S68" s="10" t="inlineStr">
        <is>
          <t> </t>
        </is>
      </c>
      <c r="T68" s="22">
        <f>SUM(T19:T66)</f>
        <v/>
      </c>
      <c r="U68" s="22">
        <f>SUM(#REF!)</f>
        <v/>
      </c>
      <c r="V68" s="54" t="n"/>
      <c r="W68" s="30" t="n"/>
      <c r="X68" s="137" t="n"/>
      <c r="Y68" s="137" t="n"/>
    </row>
    <row r="69">
      <c r="B69" s="16" t="inlineStr">
        <is>
          <t>buy/sell</t>
        </is>
      </c>
      <c r="C69" s="17" t="inlineStr">
        <is>
          <t>pipe</t>
        </is>
      </c>
      <c r="D69" s="17" t="inlineStr">
        <is>
          <t>customer</t>
        </is>
      </c>
      <c r="E69" s="18" t="inlineStr">
        <is>
          <t>dates</t>
        </is>
      </c>
      <c r="F69" s="18" t="n"/>
      <c r="G69" s="16" t="inlineStr">
        <is>
          <t>rec</t>
        </is>
      </c>
      <c r="H69" s="16" t="inlineStr">
        <is>
          <t>del</t>
        </is>
      </c>
      <c r="I69" s="17" t="inlineStr">
        <is>
          <t>Type</t>
        </is>
      </c>
      <c r="J69" s="155" t="inlineStr">
        <is>
          <t>dem</t>
        </is>
      </c>
      <c r="K69" s="17" t="inlineStr">
        <is>
          <t>com</t>
        </is>
      </c>
      <c r="L69" s="17" t="inlineStr">
        <is>
          <t>aca</t>
        </is>
      </c>
      <c r="M69" s="17" t="inlineStr">
        <is>
          <t>gri</t>
        </is>
      </c>
      <c r="N69" s="17" t="inlineStr">
        <is>
          <t>s/c</t>
        </is>
      </c>
      <c r="O69" s="156" t="inlineStr">
        <is>
          <t>fuel %</t>
        </is>
      </c>
      <c r="P69" s="17" t="inlineStr">
        <is>
          <t>total</t>
        </is>
      </c>
      <c r="Q69" s="20" t="inlineStr">
        <is>
          <t>New K#</t>
        </is>
      </c>
      <c r="R69" s="17" t="inlineStr">
        <is>
          <t>vol</t>
        </is>
      </c>
      <c r="S69" s="16" t="inlineStr">
        <is>
          <t>comment</t>
        </is>
      </c>
      <c r="T69" s="21" t="inlineStr">
        <is>
          <t>Est Demand</t>
        </is>
      </c>
      <c r="U69" s="21" t="inlineStr">
        <is>
          <t>Act Demand</t>
        </is>
      </c>
      <c r="V69" s="53" t="inlineStr">
        <is>
          <t>New Sitara</t>
        </is>
      </c>
      <c r="W69" s="58">
        <f>+W38</f>
        <v/>
      </c>
      <c r="X69" s="137" t="n"/>
      <c r="Y69" s="137" t="n"/>
    </row>
    <row r="70" ht="12" customFormat="1" customHeight="1" s="129">
      <c r="B70" s="118" t="inlineStr">
        <is>
          <t>ENA</t>
        </is>
      </c>
      <c r="C70" s="134" t="inlineStr">
        <is>
          <t>Equit</t>
        </is>
      </c>
      <c r="D70" s="134" t="inlineStr">
        <is>
          <t>Envirogas</t>
        </is>
      </c>
      <c r="E70" s="120" t="n">
        <v>35612</v>
      </c>
      <c r="F70" s="120" t="n">
        <v>37437</v>
      </c>
      <c r="G70" s="121" t="inlineStr">
        <is>
          <t>11089</t>
        </is>
      </c>
      <c r="H70" s="118" t="inlineStr">
        <is>
          <t>TEPE 0144</t>
        </is>
      </c>
      <c r="I70" s="134" t="inlineStr">
        <is>
          <t>FTS</t>
        </is>
      </c>
      <c r="J70" s="157">
        <f>+(5.7625+0.2)/J$1</f>
        <v/>
      </c>
      <c r="K70" s="158" t="n">
        <v>0</v>
      </c>
      <c r="L70" s="158" t="n">
        <v>0.0022</v>
      </c>
      <c r="M70" s="158" t="n">
        <v>0.0072</v>
      </c>
      <c r="N70" s="158" t="n">
        <v>0</v>
      </c>
      <c r="O70" s="159" t="n">
        <v>0</v>
      </c>
      <c r="P70" s="158">
        <f>SUM(J70:N70)</f>
        <v/>
      </c>
      <c r="Q70" s="125" t="n">
        <v>270</v>
      </c>
      <c r="R70" s="134" t="n">
        <v>1000</v>
      </c>
      <c r="S70" s="118" t="n"/>
      <c r="T70" s="126">
        <f>J70*J$1*R70</f>
        <v/>
      </c>
      <c r="U70" s="126" t="n"/>
      <c r="V70" s="127" t="n">
        <v>348630</v>
      </c>
      <c r="W70" s="118" t="n"/>
      <c r="X70" s="135" t="n"/>
      <c r="Y70" s="135" t="n"/>
    </row>
    <row r="71" ht="12" customFormat="1" customHeight="1" s="112">
      <c r="B71" s="57" t="n"/>
      <c r="C71" s="40" t="n"/>
      <c r="D71" s="40" t="n"/>
      <c r="E71" s="109" t="n"/>
      <c r="F71" s="109" t="n"/>
      <c r="G71" s="59" t="n"/>
      <c r="H71" s="59" t="n"/>
      <c r="I71" s="40" t="n"/>
      <c r="J71" s="153" t="n"/>
      <c r="K71" s="151" t="n"/>
      <c r="L71" s="151" t="n"/>
      <c r="M71" s="151" t="n"/>
      <c r="N71" s="151" t="n"/>
      <c r="O71" s="152" t="n"/>
      <c r="P71" s="151" t="n"/>
      <c r="Q71" s="48" t="n"/>
      <c r="R71" s="40" t="n"/>
      <c r="S71" s="57" t="n"/>
      <c r="T71" s="28">
        <f>SUM(T70)</f>
        <v/>
      </c>
      <c r="U71" s="28" t="n"/>
      <c r="V71" s="55" t="n"/>
      <c r="W71" s="57" t="n"/>
      <c r="X71" s="137" t="n"/>
      <c r="Y71" s="137" t="n"/>
    </row>
    <row r="72">
      <c r="B72" s="60" t="n"/>
      <c r="C72" s="40" t="n"/>
      <c r="D72" s="40" t="n"/>
      <c r="E72" s="109" t="n"/>
      <c r="F72" s="109" t="n"/>
      <c r="G72" s="57" t="n"/>
      <c r="H72" s="57" t="n"/>
      <c r="I72" s="40" t="n"/>
      <c r="J72" s="151" t="n"/>
      <c r="K72" s="151" t="n"/>
      <c r="L72" s="151" t="n"/>
      <c r="M72" s="151" t="n"/>
      <c r="N72" s="151" t="n"/>
      <c r="O72" s="152" t="n"/>
      <c r="P72" s="151" t="n"/>
      <c r="Q72" s="48" t="n"/>
      <c r="R72" s="49" t="n"/>
      <c r="S72" s="28" t="n"/>
      <c r="T72" s="28" t="n"/>
      <c r="U72" s="28" t="n"/>
      <c r="V72" s="55" t="n"/>
      <c r="W72" s="57" t="n"/>
      <c r="X72" s="137" t="n"/>
      <c r="Y72" s="137" t="n"/>
    </row>
    <row r="73">
      <c r="B73" s="60" t="n"/>
      <c r="C73" s="40" t="n"/>
      <c r="D73" s="40" t="n"/>
      <c r="E73" s="109" t="n"/>
      <c r="F73" s="109" t="n"/>
      <c r="G73" s="57" t="n"/>
      <c r="H73" s="57" t="n"/>
      <c r="I73" s="40" t="n"/>
      <c r="J73" s="153" t="n"/>
      <c r="K73" s="151" t="n"/>
      <c r="L73" s="151" t="n"/>
      <c r="M73" s="151" t="n"/>
      <c r="N73" s="151" t="n"/>
      <c r="O73" s="152" t="n"/>
      <c r="P73" s="151" t="n"/>
      <c r="Q73" s="48" t="n"/>
      <c r="R73" s="49" t="n"/>
      <c r="S73" s="28" t="n"/>
      <c r="T73" s="28" t="n"/>
      <c r="U73" s="28" t="n"/>
      <c r="V73" s="55" t="n"/>
      <c r="W73" s="57" t="n"/>
      <c r="X73" s="137" t="n"/>
      <c r="Y73" s="137" t="n"/>
    </row>
    <row r="74" ht="13.5" customHeight="1" s="50" thickBot="1">
      <c r="B74" s="60" t="n"/>
      <c r="C74" s="40" t="n"/>
      <c r="D74" s="40" t="n"/>
      <c r="E74" s="109" t="n"/>
      <c r="F74" s="109" t="n"/>
      <c r="G74" s="57" t="n"/>
      <c r="H74" s="57" t="n"/>
      <c r="I74" s="40" t="n"/>
      <c r="J74" s="151" t="n"/>
      <c r="K74" s="151" t="n"/>
      <c r="L74" s="151" t="n"/>
      <c r="M74" s="151" t="n"/>
      <c r="N74" s="151" t="n"/>
      <c r="O74" s="152" t="n"/>
      <c r="P74" s="151" t="n"/>
      <c r="Q74" s="48" t="n"/>
      <c r="R74" s="49" t="n"/>
      <c r="S74" s="28" t="n"/>
      <c r="T74" s="106">
        <f>SUM(T71,T68,T17,)</f>
        <v/>
      </c>
      <c r="U74" s="28" t="inlineStr">
        <is>
          <t>Deal 211642</t>
        </is>
      </c>
      <c r="V74" s="55" t="n"/>
      <c r="W74" s="57" t="n"/>
      <c r="X74" s="137" t="n"/>
      <c r="Y74" s="137" t="n"/>
    </row>
    <row r="75" ht="13.5" customHeight="1" s="50" thickTop="1">
      <c r="B75" s="60" t="n"/>
      <c r="C75" s="40" t="n"/>
      <c r="D75" s="40" t="n"/>
      <c r="E75" s="109" t="n"/>
      <c r="F75" s="109" t="n"/>
      <c r="G75" s="57" t="n"/>
      <c r="H75" s="57" t="n"/>
      <c r="I75" s="40" t="n"/>
      <c r="J75" s="151" t="n"/>
      <c r="K75" s="151" t="n"/>
      <c r="L75" s="151" t="n"/>
      <c r="M75" s="151" t="n"/>
      <c r="N75" s="151" t="n"/>
      <c r="O75" s="152" t="n"/>
      <c r="P75" s="151" t="n"/>
      <c r="Q75" s="48" t="n"/>
      <c r="R75" s="49" t="n"/>
      <c r="S75" s="28" t="n"/>
      <c r="T75" s="28" t="n"/>
      <c r="U75" s="57" t="inlineStr">
        <is>
          <t>100% Reimbursed from CES</t>
        </is>
      </c>
      <c r="V75" s="55" t="n"/>
      <c r="W75" s="57" t="n"/>
      <c r="X75" s="40" t="n"/>
      <c r="Y75" s="137" t="n"/>
    </row>
    <row r="76">
      <c r="B76" s="60" t="n"/>
      <c r="C76" s="40" t="n"/>
      <c r="D76" s="40" t="n"/>
      <c r="E76" s="109" t="n"/>
      <c r="F76" s="109" t="n"/>
      <c r="G76" s="57" t="n"/>
      <c r="H76" s="57" t="n"/>
      <c r="I76" s="40" t="n"/>
      <c r="J76" s="151" t="n"/>
      <c r="K76" s="151" t="n"/>
      <c r="L76" s="151" t="n"/>
      <c r="M76" s="151" t="n"/>
      <c r="N76" s="151" t="n"/>
      <c r="O76" s="152" t="n"/>
      <c r="P76" s="151" t="n"/>
      <c r="Q76" s="48" t="n"/>
      <c r="R76" s="49" t="n"/>
      <c r="S76" s="28" t="n"/>
      <c r="T76" s="28" t="n"/>
      <c r="U76" s="28" t="n"/>
      <c r="V76" s="55" t="n"/>
      <c r="W76" s="57" t="n"/>
      <c r="X76" s="137" t="n"/>
      <c r="Y76" s="137" t="n"/>
    </row>
    <row r="77">
      <c r="B77" s="60" t="n"/>
      <c r="C77" s="40" t="n"/>
      <c r="D77" s="40" t="n"/>
      <c r="E77" s="109" t="n"/>
      <c r="F77" s="109" t="n"/>
      <c r="G77" s="57" t="n"/>
      <c r="H77" s="57" t="n"/>
      <c r="I77" s="40" t="n"/>
      <c r="J77" s="151" t="n"/>
      <c r="K77" s="151" t="n"/>
      <c r="L77" s="151" t="n"/>
      <c r="M77" s="151" t="n"/>
      <c r="N77" s="151" t="n"/>
      <c r="O77" s="152" t="n"/>
      <c r="P77" s="151" t="n"/>
      <c r="Q77" s="48" t="n"/>
      <c r="R77" s="49" t="n"/>
      <c r="S77" s="28" t="n"/>
      <c r="T77" s="28" t="n"/>
      <c r="U77" s="28" t="n"/>
      <c r="V77" s="55" t="n"/>
      <c r="W77" s="57" t="n"/>
      <c r="X77" s="137" t="n"/>
      <c r="Y77" s="137" t="n"/>
    </row>
    <row r="78">
      <c r="B78" s="60" t="n"/>
      <c r="C78" s="40" t="n"/>
      <c r="D78" s="40" t="n"/>
      <c r="E78" s="109" t="n"/>
      <c r="F78" s="109" t="n"/>
      <c r="G78" s="57" t="n"/>
      <c r="H78" s="57" t="n"/>
      <c r="I78" s="40" t="n"/>
      <c r="J78" s="153" t="n"/>
      <c r="K78" s="151" t="n"/>
      <c r="L78" s="151" t="n"/>
      <c r="M78" s="151" t="n"/>
      <c r="N78" s="151" t="n"/>
      <c r="O78" s="152" t="n"/>
      <c r="P78" s="151" t="n"/>
      <c r="Q78" s="48" t="n"/>
      <c r="R78" s="49" t="n"/>
      <c r="S78" s="40" t="n"/>
      <c r="T78" s="28" t="n"/>
      <c r="U78" s="28" t="n"/>
      <c r="V78" s="55" t="n"/>
      <c r="W78" s="57" t="n"/>
      <c r="X78" s="137" t="n"/>
      <c r="Y78" s="137" t="n"/>
    </row>
    <row r="79">
      <c r="B79" s="60" t="n"/>
      <c r="C79" s="40" t="n"/>
      <c r="D79" s="40" t="n"/>
      <c r="E79" s="109" t="n"/>
      <c r="F79" s="109" t="n"/>
      <c r="G79" s="57" t="n"/>
      <c r="H79" s="57" t="n"/>
      <c r="I79" s="40" t="n"/>
      <c r="J79" s="153" t="n"/>
      <c r="K79" s="151" t="n"/>
      <c r="L79" s="151" t="n"/>
      <c r="M79" s="151" t="n"/>
      <c r="N79" s="151" t="n"/>
      <c r="O79" s="152" t="n"/>
      <c r="P79" s="151" t="n"/>
      <c r="Q79" s="48" t="n"/>
      <c r="R79" s="49" t="n"/>
      <c r="S79" s="40" t="n"/>
      <c r="T79" s="28" t="n"/>
      <c r="U79" s="28" t="n"/>
      <c r="V79" s="55" t="n"/>
      <c r="W79" s="57" t="n"/>
      <c r="X79" s="137" t="n"/>
      <c r="Y79" s="137" t="n"/>
    </row>
    <row r="80">
      <c r="W80" s="60" t="n"/>
    </row>
    <row r="81">
      <c r="W81" s="60" t="n"/>
    </row>
  </sheetData>
  <pageMargins left="0.75" right="0.75" top="1" bottom="1" header="0.5" footer="0.5"/>
  <pageSetup orientation="landscape" paperSize="5" scale="39" fitToHeight="0"/>
  <headerFooter alignWithMargins="0">
    <oddHeader/>
    <oddFooter>&amp;L&amp;F  &amp;A&amp;R&amp;D   &amp;T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ECT</dc:creator>
  <dcterms:created xsi:type="dcterms:W3CDTF">1998-07-21T12:15:25Z</dcterms:created>
  <dcterms:modified xsi:type="dcterms:W3CDTF">2025-09-29T14:40:47Z</dcterms:modified>
  <cp:lastModifiedBy>Felienne</cp:lastModifiedBy>
  <cp:lastPrinted>2000-07-10T18:35:53Z</cp:lastPrinted>
</cp:coreProperties>
</file>