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QMC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m/d/yy\ h:mm:ss;@"/>
  </numFmts>
  <fonts count="24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Times New Roman"/>
      <family val="1"/>
      <color theme="1"/>
      <sz val="8"/>
    </font>
    <font>
      <name val="Calibri"/>
      <family val="2"/>
      <color theme="1"/>
      <sz val="8"/>
      <scheme val="minor"/>
    </font>
    <font>
      <name val="Verdana"/>
      <family val="2"/>
      <color rgb="FF333333"/>
      <sz val="11"/>
    </font>
    <font>
      <name val="Calibri"/>
      <family val="2"/>
      <color rgb="FF000000"/>
      <sz val="5"/>
      <scheme val="minor"/>
    </font>
    <font>
      <name val="Calibri"/>
      <family val="2"/>
      <color rgb="FF000000"/>
      <sz val="11"/>
      <scheme val="minor"/>
    </font>
    <font>
      <name val="Calibri"/>
      <family val="2"/>
      <color theme="1"/>
      <sz val="5"/>
      <scheme val="minor"/>
    </font>
  </fonts>
  <fills count="33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7" fillId="12" borderId="0"/>
    <xf numFmtId="0" fontId="17" fillId="13" borderId="0"/>
    <xf numFmtId="0" fontId="1" fillId="14" borderId="0"/>
    <xf numFmtId="0" fontId="1" fillId="15" borderId="0"/>
    <xf numFmtId="0" fontId="17" fillId="16" borderId="0"/>
    <xf numFmtId="0" fontId="17" fillId="17" borderId="0"/>
    <xf numFmtId="0" fontId="1" fillId="18" borderId="0"/>
    <xf numFmtId="0" fontId="1" fillId="19" borderId="0"/>
    <xf numFmtId="0" fontId="17" fillId="20" borderId="0"/>
    <xf numFmtId="0" fontId="17" fillId="21" borderId="0"/>
    <xf numFmtId="0" fontId="1" fillId="22" borderId="0"/>
    <xf numFmtId="0" fontId="1" fillId="23" borderId="0"/>
    <xf numFmtId="0" fontId="17" fillId="24" borderId="0"/>
    <xf numFmtId="0" fontId="17" fillId="25" borderId="0"/>
    <xf numFmtId="0" fontId="1" fillId="26" borderId="0"/>
    <xf numFmtId="0" fontId="1" fillId="27" borderId="0"/>
    <xf numFmtId="0" fontId="17" fillId="28" borderId="0"/>
    <xf numFmtId="0" fontId="17" fillId="29" borderId="0"/>
    <xf numFmtId="0" fontId="1" fillId="30" borderId="0"/>
    <xf numFmtId="0" fontId="1" fillId="31" borderId="0"/>
    <xf numFmtId="0" fontId="17" fillId="32" borderId="0"/>
  </cellStyleXfs>
  <cellXfs count="13">
    <xf numFmtId="0" fontId="0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center" wrapText="1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vertical="center" wrapText="1"/>
    </xf>
    <xf numFmtId="0" fontId="21" fillId="0" borderId="0" applyAlignment="1" pivotButton="0" quotePrefix="0" xfId="0">
      <alignment vertical="center" wrapText="1"/>
    </xf>
    <xf numFmtId="0" fontId="22" fillId="0" borderId="0" applyAlignment="1" pivotButton="0" quotePrefix="0" xfId="0">
      <alignment vertical="center" wrapText="1"/>
    </xf>
    <xf numFmtId="0" fontId="23" fillId="0" borderId="0" applyAlignment="1" pivotButton="0" quotePrefix="0" xfId="0">
      <alignment vertical="center" wrapText="1"/>
    </xf>
    <xf numFmtId="46" fontId="18" fillId="0" borderId="0" applyAlignment="1" pivotButton="0" quotePrefix="0" xfId="0">
      <alignment vertical="center"/>
    </xf>
    <xf numFmtId="46" fontId="19" fillId="0" borderId="0" applyAlignment="1" pivotButton="0" quotePrefix="0" xfId="0">
      <alignment vertical="center"/>
    </xf>
    <xf numFmtId="46" fontId="0" fillId="0" borderId="0" pivotButton="0" quotePrefix="0" xfId="0"/>
    <xf numFmtId="46" fontId="23" fillId="0" borderId="0" applyAlignment="1" pivotButton="0" quotePrefix="0" xfId="0">
      <alignment vertical="center" wrapText="1"/>
    </xf>
    <xf numFmtId="46" fontId="19" fillId="0" borderId="0" applyAlignment="1" pivotButton="0" quotePrefix="0" xfId="0">
      <alignment vertical="center" wrapText="1"/>
    </xf>
  </cellXfs>
  <cellStyles count="42">
    <cellStyle name="Normal" xfId="0" builtinId="0"/>
    <cellStyle name="Title" xfId="1" builtinId="15"/>
    <cellStyle name="Heading 1" xfId="2" builtinId="16"/>
    <cellStyle name="Heading 2" xfId="3" builtinId="17"/>
    <cellStyle name="Heading 3" xfId="4" builtinId="18"/>
    <cellStyle name="Heading 4" xfId="5" builtinId="19"/>
    <cellStyle name="Good" xfId="6" builtinId="26"/>
    <cellStyle name="Bad" xfId="7" builtinId="27"/>
    <cellStyle name="Neutral" xfId="8" builtinId="28"/>
    <cellStyle name="Input" xfId="9" builtinId="20"/>
    <cellStyle name="Output" xfId="10" builtinId="21"/>
    <cellStyle name="Calculation" xfId="11" builtinId="22"/>
    <cellStyle name="Linked Cell" xfId="12" builtinId="24"/>
    <cellStyle name="Check Cell" xfId="13" builtinId="23"/>
    <cellStyle name="Warning Text" xfId="14" builtinId="11"/>
    <cellStyle name="Note" xfId="15" builtinId="10"/>
    <cellStyle name="Explanatory Text" xfId="16" builtinId="53"/>
    <cellStyle name="Total" xfId="17" builtinId="25"/>
    <cellStyle name="Accent1" xfId="18" builtinId="29"/>
    <cellStyle name="20% - Accent1" xfId="19" builtinId="30"/>
    <cellStyle name="40% - Accent1" xfId="20" builtinId="31"/>
    <cellStyle name="60% - Accent1" xfId="21" builtinId="32"/>
    <cellStyle name="Accent2" xfId="22" builtinId="33"/>
    <cellStyle name="20% - Accent2" xfId="23" builtinId="34"/>
    <cellStyle name="40% - Accent2" xfId="24" builtinId="35"/>
    <cellStyle name="60% - Accent2" xfId="25" builtinId="36"/>
    <cellStyle name="Accent3" xfId="26" builtinId="37"/>
    <cellStyle name="20% - Accent3" xfId="27" builtinId="38"/>
    <cellStyle name="40% - Accent3" xfId="28" builtinId="39"/>
    <cellStyle name="60% - Accent3" xfId="29" builtinId="40"/>
    <cellStyle name="Accent4" xfId="30" builtinId="41"/>
    <cellStyle name="20% - Accent4" xfId="31" builtinId="42"/>
    <cellStyle name="40% - Accent4" xfId="32" builtinId="43"/>
    <cellStyle name="60% - Accent4" xfId="33" builtinId="44"/>
    <cellStyle name="Accent5" xfId="34" builtinId="45"/>
    <cellStyle name="20% - Accent5" xfId="35" builtinId="46"/>
    <cellStyle name="40% - Accent5" xfId="36" builtinId="47"/>
    <cellStyle name="60% - Accent5" xfId="37" builtinId="48"/>
    <cellStyle name="Accent6" xfId="38" builtinId="49"/>
    <cellStyle name="20% - Accent6" xfId="39" builtinId="50"/>
    <cellStyle name="40% - Accent6" xfId="40" builtinId="51"/>
    <cellStyle name="60% - Accent6" xfId="41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35"/>
  <sheetViews>
    <sheetView tabSelected="1" topLeftCell="A4" workbookViewId="0">
      <selection activeCell="V2" sqref="V2:V35"/>
    </sheetView>
  </sheetViews>
  <sheetFormatPr baseColWidth="8" defaultRowHeight="15"/>
  <cols>
    <col width="22.28515625" customWidth="1" style="1" min="1" max="1"/>
    <col width="30.28515625" bestFit="1" customWidth="1" min="16" max="16"/>
    <col width="9.140625" customWidth="1" style="10" min="17" max="17"/>
    <col width="9.140625" customWidth="1" style="10" min="21" max="22"/>
  </cols>
  <sheetData>
    <row r="1" ht="28.5" customHeight="1">
      <c r="A1" s="1" t="inlineStr">
        <is>
          <t>SCAN DATE</t>
        </is>
      </c>
      <c r="B1" t="inlineStr">
        <is>
          <t>CODE</t>
        </is>
      </c>
      <c r="C1" t="inlineStr">
        <is>
          <t>USER CODE</t>
        </is>
      </c>
      <c r="D1" t="inlineStr">
        <is>
          <t>GIAI</t>
        </is>
      </c>
      <c r="E1" t="inlineStr">
        <is>
          <t>[Person_1]</t>
        </is>
      </c>
      <c r="F1" t="inlineStr">
        <is>
          <t>STATUS BEFORE SCAN</t>
        </is>
      </c>
      <c r="G1" t="inlineStr">
        <is>
          <t>LOT BEFORE SCAN</t>
        </is>
      </c>
      <c r="H1" t="inlineStr">
        <is>
          <t>SCANNED CODE</t>
        </is>
      </c>
      <c r="I1" t="inlineStr">
        <is>
          <t>CODE TYPE</t>
        </is>
      </c>
      <c r="J1" t="inlineStr">
        <is>
          <t>PROCESSING AREA</t>
        </is>
      </c>
      <c r="K1" t="inlineStr">
        <is>
          <t>RESULT</t>
        </is>
      </c>
      <c r="L1" t="inlineStr">
        <is>
          <t>ADDITIONAL INFORMATION</t>
        </is>
      </c>
      <c r="M1" t="inlineStr">
        <is>
          <t>OPERATOR</t>
        </is>
      </c>
      <c r="N1" t="inlineStr">
        <is>
          <t>LOGIN</t>
        </is>
      </c>
      <c r="O1" t="inlineStr">
        <is>
          <t>WORKSTATION</t>
        </is>
      </c>
      <c r="P1" t="inlineStr">
        <is>
          <t>SITE LOCATION</t>
        </is>
      </c>
      <c r="Q1" s="8" t="inlineStr">
        <is>
          <t>Time</t>
        </is>
      </c>
      <c r="R1" s="3" t="inlineStr">
        <is>
          <t>Helper 1</t>
        </is>
      </c>
      <c r="S1" s="3" t="inlineStr">
        <is>
          <t>Helper 2</t>
        </is>
      </c>
      <c r="T1" s="3" t="inlineStr">
        <is>
          <t>Helper 2</t>
        </is>
      </c>
      <c r="U1" s="9" t="inlineStr">
        <is>
          <t>Helper 4</t>
        </is>
      </c>
      <c r="V1" s="12" t="inlineStr">
        <is>
          <t>Possible Alternative</t>
        </is>
      </c>
      <c r="W1" s="4" t="inlineStr">
        <is>
          <t>Hyperlink</t>
        </is>
      </c>
      <c r="X1" s="4" t="inlineStr">
        <is>
          <t>Over 48Hrs</t>
        </is>
      </c>
      <c r="Y1" s="4">
        <f>COUNTIF(U:U,"&gt;"&amp;2)</f>
        <v/>
      </c>
      <c r="Z1" s="4" t="inlineStr">
        <is>
          <t>Item</t>
        </is>
      </c>
      <c r="AA1" s="4" t="inlineStr">
        <is>
          <t>[Person_2]</t>
        </is>
      </c>
    </row>
    <row r="2" ht="30" customHeight="1">
      <c r="A2" s="1" t="n">
        <v>45245.16947916667</v>
      </c>
      <c r="B2" t="inlineStr">
        <is>
          <t>1000126</t>
        </is>
      </c>
      <c r="D2" t="inlineStr">
        <is>
          <t>8004505522501000111</t>
        </is>
      </c>
      <c r="E2" t="inlineStr">
        <is>
          <t>NEONATAL FORCEPS ARTERY SPENCER WELLS STRAIGHT 178mm</t>
        </is>
      </c>
      <c r="F2" t="inlineStr">
        <is>
          <t>OFF SITE (IN TRANSIT TO CUSTOMER)</t>
        </is>
      </c>
      <c r="G2" t="n">
        <v>4</v>
      </c>
      <c r="H2" t="inlineStr">
        <is>
          <t>8004505522501000111</t>
        </is>
      </c>
      <c r="I2" t="inlineStr">
        <is>
          <t>GIAI</t>
        </is>
      </c>
      <c r="J2" t="inlineStr">
        <is>
          <t>Wash Area Return</t>
        </is>
      </c>
      <c r="K2" t="inlineStr">
        <is>
          <t>Success</t>
        </is>
      </c>
      <c r="M2" t="inlineStr">
        <is>
          <t>RASHINJOY</t>
        </is>
      </c>
      <c r="N2" t="inlineStr">
        <is>
          <t>NUH - Dirty Area Login</t>
        </is>
      </c>
      <c r="O2" t="inlineStr">
        <is>
          <t>QSTER2105001</t>
        </is>
      </c>
      <c r="P2" t="inlineStr">
        <is>
          <t>Nottingham University Hospitals</t>
        </is>
      </c>
      <c r="Q2" s="9" t="n"/>
      <c r="R2" s="3">
        <f>IF(F2="Autoclave completed",COUNTIFS(F$2:F2,"Autoclave completed",B$2:B2,B2),"")</f>
        <v/>
      </c>
      <c r="S2" s="3">
        <f>COUNTIFS(F:F,"Autoclave completed",B:B,B2)</f>
        <v/>
      </c>
      <c r="T2" s="3">
        <f>IF(R2=S2,"Total",IF(AND(R2=1,S2=2),"Subtotal",""))</f>
        <v/>
      </c>
      <c r="U2" s="9">
        <f>IF(T2="Total",SUMIFS(Q$2:Q2,B$2:B2,B2,T$2:T2,"&lt;&gt;subtotal"),IF(T2="Subtotal",SUMIF(B$2:B2,B2,Q$2:Q2),""))</f>
        <v/>
      </c>
      <c r="V2" s="9">
        <f>IF(T2="Total",SUMIFS(Q$2:Q2,B$2:B2,B2)-SUMIFS(V$1:V1,B$2:B2,B2,T$1:T1,"subtotal"),IF(T2="Subtotal",SUMIF(B$2:B2,B2,Q$2:Q2),""))</f>
        <v/>
      </c>
      <c r="W2" s="5" t="n"/>
      <c r="X2" s="6" t="inlineStr">
        <is>
          <t>Over 72Hrs</t>
        </is>
      </c>
      <c r="Y2" s="2">
        <f>COUNTIF(U:U,"&gt;"&amp;3)</f>
        <v/>
      </c>
      <c r="Z2" s="2" t="n"/>
      <c r="AA2" s="2" t="n"/>
    </row>
    <row r="3" ht="24.75" customHeight="1">
      <c r="A3" s="1" t="n">
        <v>45245.16958333334</v>
      </c>
      <c r="B3" t="inlineStr">
        <is>
          <t>1000126</t>
        </is>
      </c>
      <c r="D3" t="inlineStr">
        <is>
          <t>8004505522501000111</t>
        </is>
      </c>
      <c r="E3" t="inlineStr">
        <is>
          <t>NEONATAL FORCEPS ARTERY SPENCER WELLS STRAIGHT 178mm</t>
        </is>
      </c>
      <c r="F3" t="inlineStr">
        <is>
          <t>IN WASH AREA</t>
        </is>
      </c>
      <c r="G3" t="n">
        <v>4</v>
      </c>
      <c r="H3" t="inlineStr">
        <is>
          <t>8004505522501000111</t>
        </is>
      </c>
      <c r="I3" t="inlineStr">
        <is>
          <t>GIAI</t>
        </is>
      </c>
      <c r="J3" t="inlineStr">
        <is>
          <t>Wash Area Inspection</t>
        </is>
      </c>
      <c r="K3" t="inlineStr">
        <is>
          <t>Success</t>
        </is>
      </c>
      <c r="M3" t="inlineStr">
        <is>
          <t>RASHINJOY</t>
        </is>
      </c>
      <c r="N3" t="inlineStr">
        <is>
          <t>NUH - Dirty Area Login</t>
        </is>
      </c>
      <c r="O3" t="inlineStr">
        <is>
          <t>QSTER2105001</t>
        </is>
      </c>
      <c r="P3" t="inlineStr">
        <is>
          <t>Nottingham University Hospitals</t>
        </is>
      </c>
      <c r="Q3" s="9">
        <f>IF(AND(LEFT(F3,2)="off",(LEFT(F3,2)="aut")),0,IF(AND(LEFT(F3,2)="off",(LEFT(F3,4)="In D")),0,IF(A3-A2&lt;0,0,A3-A2)))</f>
        <v/>
      </c>
      <c r="R3" s="3">
        <f>IF(F3="Autoclave completed",COUNTIFS(F$2:F3,"Autoclave completed",B$2:B3,B3),"")</f>
        <v/>
      </c>
      <c r="S3" s="3">
        <f>COUNTIFS(F:F,"Autoclave completed",B:B,B3)</f>
        <v/>
      </c>
      <c r="T3" s="3">
        <f>IF(R3=S3,"Total",IF(AND(R3=1,S3=2),"Subtotal",""))</f>
        <v/>
      </c>
      <c r="U3" s="9">
        <f>IF(T3="Total",SUMIFS(Q$2:Q3,B$2:B3,B3,T$2:T3,"&lt;&gt;subtotal"),IF(T3="Subtotal",SUMIF(B$2:B3,B3,Q$2:Q3),""))</f>
        <v/>
      </c>
      <c r="V3" s="9">
        <f>IF(T3="Total",SUMIFS(Q$2:Q3,B$2:B3,B3)-SUMIFS(V$1:V2,B$2:B3,B3,T$1:T2,"subtotal"),IF(T3="Subtotal",SUMIF(B$2:B3,B3,Q$2:Q3),""))</f>
        <v/>
      </c>
      <c r="W3" s="5">
        <f>HYPERLINK("#"&amp;ADDRESS(MATCH(LARGE(U:U,1),U:U,0),COLUMNS($A$1:$U$1)),"Number_1")</f>
        <v/>
      </c>
      <c r="X3" s="5">
        <f>ADDRESS(MATCH(LARGE(U:U,1),U:U,0),1)</f>
        <v/>
      </c>
      <c r="Y3" s="11">
        <f>LARGE(U:U,1)</f>
        <v/>
      </c>
      <c r="Z3" s="7">
        <f>INDIRECT(ADDRESS(MATCH(LARGE($U:$U,1),U:U,0),5))</f>
        <v/>
      </c>
      <c r="AA3" s="7">
        <f>INDIRECT(ADDRESS(MATCH(LARGE($U:$U,1),U:U,0),13))</f>
        <v/>
      </c>
    </row>
    <row r="4" ht="33" customHeight="1">
      <c r="A4" s="1" t="n">
        <v>45245.18880787037</v>
      </c>
      <c r="B4" t="inlineStr">
        <is>
          <t>1000126</t>
        </is>
      </c>
      <c r="D4" t="inlineStr">
        <is>
          <t>8004505522501000111</t>
        </is>
      </c>
      <c r="E4" t="inlineStr">
        <is>
          <t>NEONATAL FORCEPS ARTERY SPENCER WELLS STRAIGHT 178mm</t>
        </is>
      </c>
      <c r="F4" t="inlineStr">
        <is>
          <t>IN WASH AREA</t>
        </is>
      </c>
      <c r="G4" t="n">
        <v>4</v>
      </c>
      <c r="H4" t="inlineStr">
        <is>
          <t>8004505522501000111</t>
        </is>
      </c>
      <c r="I4" t="inlineStr">
        <is>
          <t>GIAI</t>
        </is>
      </c>
      <c r="J4" t="inlineStr">
        <is>
          <t>Wash Area Cart Load</t>
        </is>
      </c>
      <c r="K4" t="inlineStr">
        <is>
          <t>Success</t>
        </is>
      </c>
      <c r="M4" t="inlineStr">
        <is>
          <t>jordanhawkins</t>
        </is>
      </c>
      <c r="N4" t="inlineStr">
        <is>
          <t>NUH - Dirty Area Login</t>
        </is>
      </c>
      <c r="O4" t="inlineStr">
        <is>
          <t>QTHEA2104002</t>
        </is>
      </c>
      <c r="P4" t="inlineStr">
        <is>
          <t>Nottingham University Hospitals</t>
        </is>
      </c>
      <c r="Q4" s="9">
        <f>IF(AND(LEFT(F4,2)="off",(LEFT(F4,2)="aut")),0,IF(AND(LEFT(F4,2)="off",(LEFT(F4,4)="In D")),0,IF(A4-A3&lt;0,0,A4-A3)))</f>
        <v/>
      </c>
      <c r="R4" s="3">
        <f>IF(F4="Autoclave completed",COUNTIFS(F$2:F4,"Autoclave completed",B$2:B4,B4),"")</f>
        <v/>
      </c>
      <c r="S4" s="3">
        <f>COUNTIFS(F:F,"Autoclave completed",B:B,B4)</f>
        <v/>
      </c>
      <c r="T4" s="3">
        <f>IF(R4=S4,"Total",IF(AND(R4=1,S4=2),"Subtotal",""))</f>
        <v/>
      </c>
      <c r="U4" s="9">
        <f>IF(T4="Total",SUMIFS(Q$2:Q4,B$2:B4,B4,T$2:T4,"&lt;&gt;subtotal"),IF(T4="Subtotal",SUMIF(B$2:B4,B4,Q$2:Q4),""))</f>
        <v/>
      </c>
      <c r="V4" s="9">
        <f>IF(T4="Total",SUMIFS(Q$2:Q4,B$2:B4,B4)-SUMIFS(V$1:V3,B$2:B4,B4,T$1:T3,"subtotal"),IF(T4="Subtotal",SUMIF(B$2:B4,B4,Q$2:Q4),""))</f>
        <v/>
      </c>
      <c r="W4" s="5">
        <f>HYPERLINK("#"&amp;ADDRESS(MATCH(LARGE(U:U,2),U:U,0),COLUMNS($A$1:$U$1)),"Number_2")</f>
        <v/>
      </c>
      <c r="X4" s="5">
        <f>ADDRESS(MATCH(LARGE(U:U,2),U:U,0),1)</f>
        <v/>
      </c>
      <c r="Y4" s="11">
        <f>LARGE(U:U,2)</f>
        <v/>
      </c>
      <c r="Z4" s="7">
        <f>INDIRECT(ADDRESS(MATCH(LARGE($U:$U,2),U:U,0),5))</f>
        <v/>
      </c>
      <c r="AA4" s="7">
        <f>INDIRECT(ADDRESS(MATCH(LARGE($U:$U,2),U:U,0),13))</f>
        <v/>
      </c>
    </row>
    <row r="5" ht="41.25" customHeight="1">
      <c r="A5" s="1" t="n">
        <v>45245.18957175926</v>
      </c>
      <c r="B5" t="inlineStr">
        <is>
          <t>1000126</t>
        </is>
      </c>
      <c r="D5" t="inlineStr">
        <is>
          <t>8004505522501000111</t>
        </is>
      </c>
      <c r="E5" t="inlineStr">
        <is>
          <t>NEONATAL FORCEPS ARTERY SPENCER WELLS STRAIGHT 178mm</t>
        </is>
      </c>
      <c r="F5" t="inlineStr">
        <is>
          <t>ON WASHER CART</t>
        </is>
      </c>
      <c r="G5" t="n">
        <v>4</v>
      </c>
      <c r="H5" t="inlineStr">
        <is>
          <t>8004505522501000111</t>
        </is>
      </c>
      <c r="I5" t="inlineStr">
        <is>
          <t>GIAI</t>
        </is>
      </c>
      <c r="J5" t="inlineStr">
        <is>
          <t>Wash Area Cart Load</t>
        </is>
      </c>
      <c r="K5" t="inlineStr">
        <is>
          <t>Failed</t>
        </is>
      </c>
      <c r="L5" t="inlineStr">
        <is>
          <t>Registered at the following position: ON WASHER CART</t>
        </is>
      </c>
      <c r="M5" t="inlineStr">
        <is>
          <t>jordanhawkins</t>
        </is>
      </c>
      <c r="N5" t="inlineStr">
        <is>
          <t>NUH - Dirty Area Login</t>
        </is>
      </c>
      <c r="O5" t="inlineStr">
        <is>
          <t>QTHEA2104002</t>
        </is>
      </c>
      <c r="P5" t="inlineStr">
        <is>
          <t>Nottingham University Hospitals</t>
        </is>
      </c>
      <c r="Q5" s="9">
        <f>IF(AND(LEFT(F5,2)="off",(LEFT(F5,2)="aut")),0,IF(AND(LEFT(F5,2)="off",(LEFT(F5,4)="In D")),0,IF(A5-A4&lt;0,0,A5-A4)))</f>
        <v/>
      </c>
      <c r="R5" s="3">
        <f>IF(F5="Autoclave completed",COUNTIFS(F$2:F5,"Autoclave completed",B$2:B5,B5),"")</f>
        <v/>
      </c>
      <c r="S5" s="3">
        <f>COUNTIFS(F:F,"Autoclave completed",B:B,B5)</f>
        <v/>
      </c>
      <c r="T5" s="3">
        <f>IF(R5=S5,"Total",IF(AND(R5=1,S5=2),"Subtotal",""))</f>
        <v/>
      </c>
      <c r="U5" s="9">
        <f>IF(T5="Total",SUMIFS(Q$2:Q5,B$2:B5,B5,T$2:T5,"&lt;&gt;subtotal"),IF(T5="Subtotal",SUMIF(B$2:B5,B5,Q$2:Q5),""))</f>
        <v/>
      </c>
      <c r="V5" s="9">
        <f>IF(T5="Total",SUMIFS(Q$2:Q5,B$2:B5,B5)-SUMIFS(V$1:V4,B$2:B5,B5,T$1:T4,"subtotal"),IF(T5="Subtotal",SUMIF(B$2:B5,B5,Q$2:Q5),""))</f>
        <v/>
      </c>
      <c r="W5" s="5">
        <f>HYPERLINK("#"&amp;ADDRESS(MATCH(LARGE(U:U,3),U:U,0),COLUMNS($A$1:$U$1)),"Number_3")</f>
        <v/>
      </c>
      <c r="X5" s="5">
        <f>ADDRESS(MATCH(LARGE(U:U,3),U:U,0),1)</f>
        <v/>
      </c>
      <c r="Y5" s="11">
        <f>LARGE(U:U,3)</f>
        <v/>
      </c>
      <c r="Z5" s="7">
        <f>INDIRECT(ADDRESS(MATCH(LARGE($U:$U,3),U:U,0),5))</f>
        <v/>
      </c>
      <c r="AA5" s="7">
        <f>INDIRECT(ADDRESS(MATCH(LARGE($U:$U,3),U:U,0),13))</f>
        <v/>
      </c>
    </row>
    <row r="6" ht="24.75" customHeight="1">
      <c r="A6" s="1" t="n">
        <v>45246.61918981482</v>
      </c>
      <c r="B6" t="inlineStr">
        <is>
          <t>1000126</t>
        </is>
      </c>
      <c r="D6" t="inlineStr">
        <is>
          <t>8004505522501000111</t>
        </is>
      </c>
      <c r="E6" t="inlineStr">
        <is>
          <t>NEONATAL FORCEPS ARTERY SPENCER WELLS STRAIGHT 178mm</t>
        </is>
      </c>
      <c r="F6" t="inlineStr">
        <is>
          <t>WASHER COMPLETED</t>
        </is>
      </c>
      <c r="G6" t="n">
        <v>4</v>
      </c>
      <c r="H6" t="inlineStr">
        <is>
          <t>8004505522501000111</t>
        </is>
      </c>
      <c r="I6" t="inlineStr">
        <is>
          <t>GIAI</t>
        </is>
      </c>
      <c r="J6" t="inlineStr">
        <is>
          <t>IAP Packing</t>
        </is>
      </c>
      <c r="K6" t="inlineStr">
        <is>
          <t>Success</t>
        </is>
      </c>
      <c r="M6" t="inlineStr">
        <is>
          <t>IRETIOSHAGBEMI</t>
        </is>
      </c>
      <c r="N6" t="inlineStr">
        <is>
          <t>NUH - IAP Area Login</t>
        </is>
      </c>
      <c r="O6" t="inlineStr">
        <is>
          <t>QSTER2110003</t>
        </is>
      </c>
      <c r="P6" t="inlineStr">
        <is>
          <t>Nottingham University Hospitals</t>
        </is>
      </c>
      <c r="Q6" s="9">
        <f>IF(AND(LEFT(F6,2)="off",(LEFT(F6,2)="aut")),0,IF(AND(LEFT(F6,2)="off",(LEFT(F6,4)="In D")),0,IF(A6-A5&lt;0,0,A6-A5)))</f>
        <v/>
      </c>
      <c r="R6" s="3">
        <f>IF(F6="Autoclave completed",COUNTIFS(F$2:F6,"Autoclave completed",B$2:B6,B6),"")</f>
        <v/>
      </c>
      <c r="S6" s="3">
        <f>COUNTIFS(F:F,"Autoclave completed",B:B,B6)</f>
        <v/>
      </c>
      <c r="T6" s="3">
        <f>IF(R6=S6,"Total",IF(AND(R6=1,S6=2),"Subtotal",""))</f>
        <v/>
      </c>
      <c r="U6" s="9">
        <f>IF(T6="Total",SUMIFS(Q$2:Q6,B$2:B6,B6,T$2:T6,"&lt;&gt;subtotal"),IF(T6="Subtotal",SUMIF(B$2:B6,B6,Q$2:Q6),""))</f>
        <v/>
      </c>
      <c r="V6" s="9">
        <f>IF(T6="Total",SUMIFS(Q$2:Q6,B$2:B6,B6)-SUMIFS(V$1:V5,B$2:B6,B6,T$1:T5,"subtotal"),IF(T6="Subtotal",SUMIF(B$2:B6,B6,Q$2:Q6),""))</f>
        <v/>
      </c>
      <c r="W6" s="5">
        <f>HYPERLINK("#"&amp;ADDRESS(MATCH(LARGE(U:U,4),U:U,0),COLUMNS($A$1:$U$1)),"Number_4")</f>
        <v/>
      </c>
      <c r="X6" s="5">
        <f>ADDRESS(MATCH(LARGE(U:U,4),U:U,0),1)</f>
        <v/>
      </c>
      <c r="Y6" s="11">
        <f>LARGE(U:U,4)</f>
        <v/>
      </c>
      <c r="Z6" s="7">
        <f>INDIRECT(ADDRESS(MATCH(LARGE($U:$U,4),U:U,0),5))</f>
        <v/>
      </c>
      <c r="AA6" s="7">
        <f>INDIRECT(ADDRESS(MATCH(LARGE($U:$U,4),U:U,0),13))</f>
        <v/>
      </c>
    </row>
    <row r="7" ht="16.5" customHeight="1">
      <c r="A7" s="1" t="n">
        <v>45246.61929398148</v>
      </c>
      <c r="B7" t="inlineStr">
        <is>
          <t>1000126</t>
        </is>
      </c>
      <c r="D7" t="inlineStr">
        <is>
          <t>8004505522501000111</t>
        </is>
      </c>
      <c r="E7" t="inlineStr">
        <is>
          <t>NEONATAL FORCEPS ARTERY SPENCER WELLS STRAIGHT 178mm</t>
        </is>
      </c>
      <c r="F7" t="inlineStr">
        <is>
          <t>PACKING</t>
        </is>
      </c>
      <c r="G7" t="n">
        <v>5</v>
      </c>
      <c r="H7" t="inlineStr">
        <is>
          <t>8004505522501000111</t>
        </is>
      </c>
      <c r="I7" t="inlineStr">
        <is>
          <t>GIAI</t>
        </is>
      </c>
      <c r="J7" t="inlineStr">
        <is>
          <t>IAP Packing</t>
        </is>
      </c>
      <c r="K7" t="inlineStr">
        <is>
          <t>Success</t>
        </is>
      </c>
      <c r="M7" t="inlineStr">
        <is>
          <t>[Person_3]</t>
        </is>
      </c>
      <c r="N7" t="inlineStr">
        <is>
          <t>NUH - IAP Area Login</t>
        </is>
      </c>
      <c r="O7" t="inlineStr">
        <is>
          <t>QSTER2110003</t>
        </is>
      </c>
      <c r="P7" t="inlineStr">
        <is>
          <t>Nottingham University Hospitals</t>
        </is>
      </c>
      <c r="Q7" s="9">
        <f>IF(AND(LEFT(F7,2)="off",(LEFT(F7,2)="aut")),0,IF(AND(LEFT(F7,2)="off",(LEFT(F7,4)="In D")),0,IF(A7-A6&lt;0,0,A7-A6)))</f>
        <v/>
      </c>
      <c r="R7" s="3">
        <f>IF(F7="Autoclave completed",COUNTIFS(F$2:F7,"Autoclave completed",B$2:B7,B7),"")</f>
        <v/>
      </c>
      <c r="S7" s="3">
        <f>COUNTIFS(F:F,"Autoclave completed",B:B,B7)</f>
        <v/>
      </c>
      <c r="T7" s="3">
        <f>IF(R7=S7,"Total",IF(AND(R7=1,S7=2),"Subtotal",""))</f>
        <v/>
      </c>
      <c r="U7" s="9">
        <f>IF(T7="Total",SUMIFS(Q$2:Q7,B$2:B7,B7,T$2:T7,"&lt;&gt;subtotal"),IF(T7="Subtotal",SUMIF(B$2:B7,B7,Q$2:Q7),""))</f>
        <v/>
      </c>
      <c r="V7" s="9">
        <f>IF(T7="Total",SUMIFS(Q$2:Q7,B$2:B7,B7)-SUMIFS(V$1:V6,B$2:B7,B7,T$1:T6,"subtotal"),IF(T7="Subtotal",SUMIF(B$2:B7,B7,Q$2:Q7),""))</f>
        <v/>
      </c>
      <c r="W7" s="5">
        <f>HYPERLINK("#"&amp;ADDRESS(MATCH(LARGE(U:U,5),U:U,0),COLUMNS($A$1:$U$1)),"Number_5")</f>
        <v/>
      </c>
      <c r="X7" s="5">
        <f>ADDRESS(MATCH(LARGE(U:U,5),U:U,0),1)</f>
        <v/>
      </c>
      <c r="Y7" s="11">
        <f>LARGE(U:U,5)</f>
        <v/>
      </c>
      <c r="Z7" s="7">
        <f>INDIRECT(ADDRESS(MATCH(LARGE($U:$U,5),U:U,0),5))</f>
        <v/>
      </c>
      <c r="AA7" s="7">
        <f>INDIRECT(ADDRESS(MATCH(LARGE($U:$U,5),U:U,0),13))</f>
        <v/>
      </c>
    </row>
    <row r="8" ht="24.75" customHeight="1">
      <c r="A8" s="1" t="n">
        <v>45246.68140046296</v>
      </c>
      <c r="B8" t="inlineStr">
        <is>
          <t>1000126</t>
        </is>
      </c>
      <c r="D8" t="inlineStr">
        <is>
          <t>8004505522501000111</t>
        </is>
      </c>
      <c r="E8" t="inlineStr">
        <is>
          <t>NEONATAL FORCEPS ARTERY SPENCER WELLS STRAIGHT 178mm</t>
        </is>
      </c>
      <c r="F8" t="inlineStr">
        <is>
          <t>AUTOCLAVE COMPLETED</t>
        </is>
      </c>
      <c r="G8" t="n">
        <v>5</v>
      </c>
      <c r="H8" t="inlineStr">
        <is>
          <t>800450552250100011100005</t>
        </is>
      </c>
      <c r="I8" t="inlineStr">
        <is>
          <t>GIAI</t>
        </is>
      </c>
      <c r="J8" t="inlineStr">
        <is>
          <t>Despatch Issue</t>
        </is>
      </c>
      <c r="K8" t="inlineStr">
        <is>
          <t>Success</t>
        </is>
      </c>
      <c r="M8" t="inlineStr">
        <is>
          <t>REXBABU AMALRAJ</t>
        </is>
      </c>
      <c r="N8" t="inlineStr">
        <is>
          <t>NUH - Autoclave Area Login</t>
        </is>
      </c>
      <c r="O8" t="inlineStr">
        <is>
          <t>QSTER2110005</t>
        </is>
      </c>
      <c r="P8" t="inlineStr">
        <is>
          <t>Nottingham University Hospitals</t>
        </is>
      </c>
      <c r="Q8" s="9">
        <f>IF(AND(LEFT(F8,2)="off",(LEFT(F8,2)="aut")),0,IF(AND(LEFT(F8,2)="off",(LEFT(F8,4)="In D")),0,IF(A8-A7&lt;0,0,A8-A7)))</f>
        <v/>
      </c>
      <c r="R8" s="3">
        <f>IF(F8="Autoclave completed",COUNTIFS(F$2:F8,"Autoclave completed",B$2:B8,B8),"")</f>
        <v/>
      </c>
      <c r="S8" s="3">
        <f>COUNTIFS(F:F,"Autoclave completed",B:B,B8)</f>
        <v/>
      </c>
      <c r="T8" s="3">
        <f>IF(R8=S8,"Total",IF(AND(R8=1,S8=2),"Subtotal",""))</f>
        <v/>
      </c>
      <c r="U8" s="9">
        <f>IF(T8="Total",SUMIFS(Q$2:Q8,B$2:B8,B8,T$2:T8,"&lt;&gt;subtotal"),IF(T8="Subtotal",SUMIF(B$2:B8,B8,Q$2:Q8),""))</f>
        <v/>
      </c>
      <c r="V8" s="9">
        <f>IF(T8="Total",SUMIFS(Q$2:Q8,B$2:B8,B8)-SUMIFS(V$1:V7,B$2:B8,B8,T$1:T7,"subtotal"),IF(T8="Subtotal",SUMIF(B$2:B8,B8,Q$2:Q8),""))</f>
        <v/>
      </c>
      <c r="W8" s="5">
        <f>HYPERLINK("#"&amp;ADDRESS(MATCH(LARGE(U:U,6),U:U,0),COLUMNS($A$1:$U$1)),"Number_6")</f>
        <v/>
      </c>
      <c r="X8" s="5">
        <f>ADDRESS(MATCH(LARGE(U:U,6),U:U,0),1)</f>
        <v/>
      </c>
      <c r="Y8" s="11">
        <f>LARGE(U:U,6)</f>
        <v/>
      </c>
      <c r="Z8" s="7">
        <f>INDIRECT(ADDRESS(MATCH(LARGE($U:$U,6),U:U,0),5))</f>
        <v/>
      </c>
      <c r="AA8" s="7">
        <f>INDIRECT(ADDRESS(MATCH(LARGE($U:$U,6),U:U,0),13))</f>
        <v/>
      </c>
    </row>
    <row r="9">
      <c r="A9" s="1" t="n">
        <v>45244.82505787037</v>
      </c>
      <c r="B9" t="inlineStr">
        <is>
          <t>1000145</t>
        </is>
      </c>
      <c r="D9" t="inlineStr">
        <is>
          <t>8004505522501000130</t>
        </is>
      </c>
      <c r="E9" t="inlineStr">
        <is>
          <t>FORCEPS DISSECTING GILLIES TOOTHED (E.N.T.THEATRE CENTRE)</t>
        </is>
      </c>
      <c r="F9" t="inlineStr">
        <is>
          <t>MIGRATED - POSITION CURRENTLY UNKNOWN</t>
        </is>
      </c>
      <c r="G9" t="n">
        <v>1</v>
      </c>
      <c r="H9" t="inlineStr">
        <is>
          <t>[PHONE_PREFIX]-6301</t>
        </is>
      </c>
      <c r="I9" t="inlineStr">
        <is>
          <t>Code</t>
        </is>
      </c>
      <c r="J9" t="inlineStr">
        <is>
          <t>Wash Area Inspection</t>
        </is>
      </c>
      <c r="K9" t="inlineStr">
        <is>
          <t>Failed</t>
        </is>
      </c>
      <c r="L9" t="inlineStr">
        <is>
          <t>Invalid code</t>
        </is>
      </c>
      <c r="M9" t="inlineStr">
        <is>
          <t>REXBABU AMALRAJ</t>
        </is>
      </c>
      <c r="N9" t="inlineStr">
        <is>
          <t>NUH - Dirty Area Login</t>
        </is>
      </c>
      <c r="O9" t="inlineStr">
        <is>
          <t>QSTER2112001</t>
        </is>
      </c>
      <c r="P9" t="inlineStr">
        <is>
          <t>Nottingham University Hospitals</t>
        </is>
      </c>
      <c r="Q9" s="9">
        <f>IF(AND(LEFT(F9,2)="off",(LEFT(F9,2)="aut")),0,IF(AND(LEFT(F9,2)="off",(LEFT(F9,4)="In D")),0,IF(A9-A8&lt;0,0,A9-A8)))</f>
        <v/>
      </c>
      <c r="R9" s="3">
        <f>IF(F9="Autoclave completed",COUNTIFS(F$2:F9,"Autoclave completed",B$2:B9,B9),"")</f>
        <v/>
      </c>
      <c r="S9" s="3">
        <f>COUNTIFS(F:F,"Autoclave completed",B:B,B9)</f>
        <v/>
      </c>
      <c r="T9" s="3">
        <f>IF(R9=S9,"Total",IF(AND(R9=1,S9=2),"Subtotal",""))</f>
        <v/>
      </c>
      <c r="U9" s="9">
        <f>IF(T9="Total",SUMIFS(Q$2:Q9,B$2:B9,B9,T$2:T9,"&lt;&gt;subtotal"),IF(T9="Subtotal",SUMIF(B$2:B9,B9,Q$2:Q9),""))</f>
        <v/>
      </c>
      <c r="V9" s="9">
        <f>IF(T9="Total",SUMIFS(Q$2:Q9,B$2:B9,B9)-SUMIFS(V$1:V8,B$2:B9,B9,T$1:T8,"subtotal"),IF(T9="Subtotal",SUMIF(B$2:B9,B9,Q$2:Q9),""))</f>
        <v/>
      </c>
      <c r="W9" s="5">
        <f>HYPERLINK("#"&amp;ADDRESS(MATCH(LARGE(U:U,7),U:U,0),COLUMNS($A$1:$U$1)),"Number_7")</f>
        <v/>
      </c>
      <c r="X9" s="5">
        <f>ADDRESS(MATCH(LARGE(U:U,7),U:U,0),1)</f>
        <v/>
      </c>
      <c r="Y9" s="11">
        <f>LARGE(U:U,7)</f>
        <v/>
      </c>
      <c r="Z9" s="7">
        <f>INDIRECT(ADDRESS(MATCH(LARGE($U:$U,7),U:U,0),5))</f>
        <v/>
      </c>
      <c r="AA9" s="7">
        <f>INDIRECT(ADDRESS(MATCH(LARGE($U:$U,7),U:U,0),13))</f>
        <v/>
      </c>
    </row>
    <row r="10">
      <c r="A10" s="1" t="n">
        <v>45244.86587962963</v>
      </c>
      <c r="B10" t="inlineStr">
        <is>
          <t>1000187</t>
        </is>
      </c>
      <c r="D10" t="inlineStr">
        <is>
          <t>8004505522501000172</t>
        </is>
      </c>
      <c r="E10" t="inlineStr">
        <is>
          <t>[Person_4] (SHORT TERM 15/1/10)</t>
        </is>
      </c>
      <c r="F10" t="inlineStr">
        <is>
          <t>MIGRATED - POSITION CURRENTLY UNKNOWN</t>
        </is>
      </c>
      <c r="G10" t="n">
        <v>1</v>
      </c>
      <c r="H10" t="inlineStr">
        <is>
          <t>[PHONE_PREFIX]-9101</t>
        </is>
      </c>
      <c r="I10" t="inlineStr">
        <is>
          <t>Code</t>
        </is>
      </c>
      <c r="J10" t="inlineStr">
        <is>
          <t>IAP Packing</t>
        </is>
      </c>
      <c r="K10" t="inlineStr">
        <is>
          <t>Failed</t>
        </is>
      </c>
      <c r="L10" t="inlineStr">
        <is>
          <t>The scanned lot number (89101) is greater than the current lot number (1)</t>
        </is>
      </c>
      <c r="M10" t="inlineStr">
        <is>
          <t>JAMESPETER</t>
        </is>
      </c>
      <c r="N10" t="inlineStr">
        <is>
          <t>NUH - IAP Area Login</t>
        </is>
      </c>
      <c r="O10" t="inlineStr">
        <is>
          <t>QTHEA1808001</t>
        </is>
      </c>
      <c r="P10" t="inlineStr">
        <is>
          <t>Nottingham University Hospitals</t>
        </is>
      </c>
      <c r="Q10" s="9">
        <f>IF(AND(LEFT(F10,2)="off",(LEFT(F10,2)="aut")),0,IF(AND(LEFT(F10,2)="off",(LEFT(F10,4)="In D")),0,IF(A10-A9&lt;0,0,A10-A9)))</f>
        <v/>
      </c>
      <c r="R10" s="3">
        <f>IF(F10="Autoclave completed",COUNTIFS(F$2:F10,"Autoclave completed",B$2:B10,B10),"")</f>
        <v/>
      </c>
      <c r="S10" s="3">
        <f>COUNTIFS(F:F,"Autoclave completed",B:B,B10)</f>
        <v/>
      </c>
      <c r="T10" s="3">
        <f>IF(R10=S10,"Total",IF(AND(R10=1,S10=2),"Subtotal",""))</f>
        <v/>
      </c>
      <c r="U10" s="9">
        <f>IF(T10="Total",SUMIFS(Q$2:Q10,B$2:B10,B10,T$2:T10,"&lt;&gt;subtotal"),IF(T10="Subtotal",SUMIF(B$2:B10,B10,Q$2:Q10),""))</f>
        <v/>
      </c>
      <c r="V10" s="9">
        <f>IF(T10="Total",SUMIFS(Q$2:Q10,B$2:B10,B10)-SUMIFS(V$1:V9,B$2:B10,B10,T$1:T9,"subtotal"),IF(T10="Subtotal",SUMIF(B$2:B10,B10,Q$2:Q10),""))</f>
        <v/>
      </c>
      <c r="W10" s="5">
        <f>HYPERLINK("#"&amp;ADDRESS(MATCH(LARGE(U:U,8),U:U,0),COLUMNS($A$1:$U$1)),"Number_8")</f>
        <v/>
      </c>
      <c r="X10" s="5">
        <f>ADDRESS(MATCH(LARGE(U:U,8),U:U,0),1)</f>
        <v/>
      </c>
      <c r="Y10" s="11">
        <f>LARGE(U:U,8)</f>
        <v/>
      </c>
      <c r="Z10" s="7">
        <f>INDIRECT(ADDRESS(MATCH(LARGE($U:$U,8),U:U,0),5))</f>
        <v/>
      </c>
      <c r="AA10" s="7">
        <f>INDIRECT(ADDRESS(MATCH(LARGE($U:$U,8),U:U,0),13))</f>
        <v/>
      </c>
    </row>
    <row r="11">
      <c r="A11" s="1" t="n">
        <v>45247.02578703704</v>
      </c>
      <c r="B11" t="inlineStr">
        <is>
          <t>1000356</t>
        </is>
      </c>
      <c r="D11" t="inlineStr">
        <is>
          <t>8004505522501000341</t>
        </is>
      </c>
      <c r="E11" t="inlineStr">
        <is>
          <t>(S) SPINAL CAMERA LIGHT HANDLE (THEATRE 17)</t>
        </is>
      </c>
      <c r="F11" t="inlineStr">
        <is>
          <t>OFF SITE (IN TRANSIT TO CUSTOMER)</t>
        </is>
      </c>
      <c r="G11" t="n">
        <v>15</v>
      </c>
      <c r="H11" t="inlineStr">
        <is>
          <t>8004505522501000341</t>
        </is>
      </c>
      <c r="I11" t="inlineStr">
        <is>
          <t>GIAI</t>
        </is>
      </c>
      <c r="J11" t="inlineStr">
        <is>
          <t>Wash Area Return</t>
        </is>
      </c>
      <c r="K11" t="inlineStr">
        <is>
          <t>Success</t>
        </is>
      </c>
      <c r="M11" t="inlineStr">
        <is>
          <t>[Person_5]</t>
        </is>
      </c>
      <c r="N11" t="inlineStr">
        <is>
          <t>NUH - Dirty Area Login</t>
        </is>
      </c>
      <c r="O11" t="inlineStr">
        <is>
          <t>QMPCE2005002</t>
        </is>
      </c>
      <c r="P11" t="inlineStr">
        <is>
          <t>Nottingham University Hospitals</t>
        </is>
      </c>
      <c r="Q11" s="9">
        <f>IF(AND(LEFT(F11,2)="off",(LEFT(F11,2)="aut")),0,IF(AND(LEFT(F11,2)="off",(LEFT(F11,4)="In D")),0,IF(A11-A10&lt;0,0,A11-A10)))</f>
        <v/>
      </c>
      <c r="R11" s="3">
        <f>IF(F11="Autoclave completed",COUNTIFS(F$2:F11,"Autoclave completed",B$2:B11,B11),"")</f>
        <v/>
      </c>
      <c r="S11" s="3">
        <f>COUNTIFS(F:F,"Autoclave completed",B:B,B11)</f>
        <v/>
      </c>
      <c r="T11" s="3">
        <f>IF(R11=S11,"Total",IF(AND(R11=1,S11=2),"Subtotal",""))</f>
        <v/>
      </c>
      <c r="U11" s="9">
        <f>IF(T11="Total",SUMIFS(Q$2:Q11,B$2:B11,B11,T$2:T11,"&lt;&gt;subtotal"),IF(T11="Subtotal",SUMIF(B$2:B11,B11,Q$2:Q11),""))</f>
        <v/>
      </c>
      <c r="V11" s="9">
        <f>IF(T11="Total",SUMIFS(Q$2:Q11,B$2:B11,B11)-SUMIFS(V$1:V10,B$2:B11,B11,T$1:T10,"subtotal"),IF(T11="Subtotal",SUMIF(B$2:B11,B11,Q$2:Q11),""))</f>
        <v/>
      </c>
      <c r="W11" s="5">
        <f>HYPERLINK("#"&amp;ADDRESS(MATCH(LARGE(U:U,9),U:U,0),COLUMNS($A$1:$U$1)),"Number_9")</f>
        <v/>
      </c>
      <c r="X11" s="5">
        <f>ADDRESS(MATCH(LARGE(U:U,9),U:U,0),1)</f>
        <v/>
      </c>
      <c r="Y11" s="11">
        <f>LARGE(U:U,9)</f>
        <v/>
      </c>
      <c r="Z11" s="7">
        <f>INDIRECT(ADDRESS(MATCH(LARGE($U:$U,9),U:U,0),5))</f>
        <v/>
      </c>
      <c r="AA11" s="7">
        <f>INDIRECT(ADDRESS(MATCH(LARGE($U:$U,9),U:U,0),13))</f>
        <v/>
      </c>
    </row>
    <row r="12">
      <c r="A12" s="1" t="n">
        <v>45247.02606481482</v>
      </c>
      <c r="B12" t="inlineStr">
        <is>
          <t>1000356</t>
        </is>
      </c>
      <c r="D12" t="inlineStr">
        <is>
          <t>8004505522501000341</t>
        </is>
      </c>
      <c r="E12" t="inlineStr">
        <is>
          <t>(S) SPINAL CAMERA LIGHT HANDLE (THEATRE 17)</t>
        </is>
      </c>
      <c r="F12" t="inlineStr">
        <is>
          <t>IN WASH AREA</t>
        </is>
      </c>
      <c r="G12" t="n">
        <v>15</v>
      </c>
      <c r="H12" t="inlineStr">
        <is>
          <t>8004505522501000341</t>
        </is>
      </c>
      <c r="I12" t="inlineStr">
        <is>
          <t>GIAI</t>
        </is>
      </c>
      <c r="J12" t="inlineStr">
        <is>
          <t>Wash Area Inspection</t>
        </is>
      </c>
      <c r="K12" t="inlineStr">
        <is>
          <t>Success</t>
        </is>
      </c>
      <c r="M12" t="inlineStr">
        <is>
          <t>[Person_5]</t>
        </is>
      </c>
      <c r="N12" t="inlineStr">
        <is>
          <t>NUH - Dirty Area Login</t>
        </is>
      </c>
      <c r="O12" t="inlineStr">
        <is>
          <t>QMPCE2005002</t>
        </is>
      </c>
      <c r="P12" t="inlineStr">
        <is>
          <t>Nottingham University Hospitals</t>
        </is>
      </c>
      <c r="Q12" s="9">
        <f>IF(AND(LEFT(F12,2)="off",(LEFT(F12,2)="aut")),0,IF(AND(LEFT(F12,2)="off",(LEFT(F12,4)="In D")),0,IF(A12-A11&lt;0,0,A12-A11)))</f>
        <v/>
      </c>
      <c r="R12" s="3">
        <f>IF(F12="Autoclave completed",COUNTIFS(F$2:F12,"Autoclave completed",B$2:B12,B12),"")</f>
        <v/>
      </c>
      <c r="S12" s="3">
        <f>COUNTIFS(F:F,"Autoclave completed",B:B,B12)</f>
        <v/>
      </c>
      <c r="T12" s="3">
        <f>IF(R12=S12,"Total",IF(AND(R12=1,S12=2),"Subtotal",""))</f>
        <v/>
      </c>
      <c r="U12" s="9">
        <f>IF(T12="Total",SUMIFS(Q$2:Q12,B$2:B12,B12,T$2:T12,"&lt;&gt;subtotal"),IF(T12="Subtotal",SUMIF(B$2:B12,B12,Q$2:Q12),""))</f>
        <v/>
      </c>
      <c r="V12" s="9">
        <f>IF(T12="Total",SUMIFS(Q$2:Q12,B$2:B12,B12)-SUMIFS(V$1:V11,B$2:B12,B12,T$1:T11,"subtotal"),IF(T12="Subtotal",SUMIF(B$2:B12,B12,Q$2:Q12),""))</f>
        <v/>
      </c>
      <c r="W12" s="5">
        <f>HYPERLINK("#"&amp;ADDRESS(MATCH(LARGE(U:U,10),U:U,0),COLUMNS($A$1:$U$1)),"Number_10")</f>
        <v/>
      </c>
      <c r="X12" s="5">
        <f>ADDRESS(MATCH(LARGE(U:U,10),U:U,0),1)</f>
        <v/>
      </c>
      <c r="Y12" s="11">
        <f>LARGE(U:U,10)</f>
        <v/>
      </c>
      <c r="Z12" s="7">
        <f>INDIRECT(ADDRESS(MATCH(LARGE($U:$U,10),U:U,0),5))</f>
        <v/>
      </c>
      <c r="AA12" s="7">
        <f>INDIRECT(ADDRESS(MATCH(LARGE($U:$U,10),U:U,0),13))</f>
        <v/>
      </c>
    </row>
    <row r="13">
      <c r="A13" s="1" t="n">
        <v>45247.11170138889</v>
      </c>
      <c r="B13" t="inlineStr">
        <is>
          <t>1000356</t>
        </is>
      </c>
      <c r="D13" t="inlineStr">
        <is>
          <t>8004505522501000341</t>
        </is>
      </c>
      <c r="E13" t="inlineStr">
        <is>
          <t>(S) SPINAL CAMERA LIGHT HANDLE (THEATRE 17)</t>
        </is>
      </c>
      <c r="F13" t="inlineStr">
        <is>
          <t>IN WASH AREA</t>
        </is>
      </c>
      <c r="G13" t="n">
        <v>15</v>
      </c>
      <c r="H13" t="inlineStr">
        <is>
          <t>8004505522501000341</t>
        </is>
      </c>
      <c r="I13" t="inlineStr">
        <is>
          <t>GIAI</t>
        </is>
      </c>
      <c r="J13" t="inlineStr">
        <is>
          <t>Wash Area Cart Load</t>
        </is>
      </c>
      <c r="K13" t="inlineStr">
        <is>
          <t>Success</t>
        </is>
      </c>
      <c r="M13" t="inlineStr">
        <is>
          <t>[Person_5]</t>
        </is>
      </c>
      <c r="N13" t="inlineStr">
        <is>
          <t>NUH - Dirty Area Login</t>
        </is>
      </c>
      <c r="O13" t="inlineStr">
        <is>
          <t>QTHEA2104002</t>
        </is>
      </c>
      <c r="P13" t="inlineStr">
        <is>
          <t>Nottingham University Hospitals</t>
        </is>
      </c>
      <c r="Q13" s="9">
        <f>IF(AND(LEFT(F13,2)="off",(LEFT(F13,2)="aut")),0,IF(AND(LEFT(F13,2)="off",(LEFT(F13,4)="In D")),0,IF(A13-A12&lt;0,0,A13-A12)))</f>
        <v/>
      </c>
      <c r="R13" s="3">
        <f>IF(F13="Autoclave completed",COUNTIFS(F$2:F13,"Autoclave completed",B$2:B13,B13),"")</f>
        <v/>
      </c>
      <c r="S13" s="3">
        <f>COUNTIFS(F:F,"Autoclave completed",B:B,B13)</f>
        <v/>
      </c>
      <c r="T13" s="3">
        <f>IF(R13=S13,"Total",IF(AND(R13=1,S13=2),"Subtotal",""))</f>
        <v/>
      </c>
      <c r="U13" s="9">
        <f>IF(T13="Total",SUMIFS(Q$2:Q13,B$2:B13,B13,T$2:T13,"&lt;&gt;subtotal"),IF(T13="Subtotal",SUMIF(B$2:B13,B13,Q$2:Q13),""))</f>
        <v/>
      </c>
      <c r="V13" s="9">
        <f>IF(T13="Total",SUMIFS(Q$2:Q13,B$2:B13,B13)-SUMIFS(V$1:V12,B$2:B13,B13,T$1:T12,"subtotal"),IF(T13="Subtotal",SUMIF(B$2:B13,B13,Q$2:Q13),""))</f>
        <v/>
      </c>
    </row>
    <row r="14">
      <c r="A14" s="1" t="n">
        <v>45247.60362268519</v>
      </c>
      <c r="B14" t="inlineStr">
        <is>
          <t>1000356</t>
        </is>
      </c>
      <c r="D14" t="inlineStr">
        <is>
          <t>8004505522501000341</t>
        </is>
      </c>
      <c r="E14" t="inlineStr">
        <is>
          <t>(S) SPINAL CAMERA LIGHT HANDLE (THEATRE 17)</t>
        </is>
      </c>
      <c r="F14" t="inlineStr">
        <is>
          <t>WASHER COMPLETED</t>
        </is>
      </c>
      <c r="G14" t="n">
        <v>15</v>
      </c>
      <c r="H14" t="inlineStr">
        <is>
          <t>8004505522501000341</t>
        </is>
      </c>
      <c r="I14" t="inlineStr">
        <is>
          <t>GIAI</t>
        </is>
      </c>
      <c r="J14" t="inlineStr">
        <is>
          <t>IAP Packing</t>
        </is>
      </c>
      <c r="K14" t="inlineStr">
        <is>
          <t>Success</t>
        </is>
      </c>
      <c r="M14" t="inlineStr">
        <is>
          <t>MAXINESHARP</t>
        </is>
      </c>
      <c r="N14" t="inlineStr">
        <is>
          <t>NUH - IAP Area Login</t>
        </is>
      </c>
      <c r="O14" t="inlineStr">
        <is>
          <t>QSTER2110003</t>
        </is>
      </c>
      <c r="P14" t="inlineStr">
        <is>
          <t>Nottingham University Hospitals</t>
        </is>
      </c>
      <c r="Q14" s="9">
        <f>IF(AND(LEFT(F14,2)="off",(LEFT(F14,2)="aut")),0,IF(AND(LEFT(F14,2)="off",(LEFT(F14,4)="In D")),0,IF(A14-A13&lt;0,0,A14-A13)))</f>
        <v/>
      </c>
      <c r="R14" s="3">
        <f>IF(F14="Autoclave completed",COUNTIFS(F$2:F14,"Autoclave completed",B$2:B14,B14),"")</f>
        <v/>
      </c>
      <c r="S14" s="3">
        <f>COUNTIFS(F:F,"Autoclave completed",B:B,B14)</f>
        <v/>
      </c>
      <c r="T14" s="3">
        <f>IF(R14=S14,"Total",IF(AND(R14=1,S14=2),"Subtotal",""))</f>
        <v/>
      </c>
      <c r="U14" s="9">
        <f>IF(T14="Total",SUMIFS(Q$2:Q14,B$2:B14,B14,T$2:T14,"&lt;&gt;subtotal"),IF(T14="Subtotal",SUMIF(B$2:B14,B14,Q$2:Q14),""))</f>
        <v/>
      </c>
      <c r="V14" s="9">
        <f>IF(T14="Total",SUMIFS(Q$2:Q14,B$2:B14,B14)-SUMIFS(V$1:V13,B$2:B14,B14,T$1:T13,"subtotal"),IF(T14="Subtotal",SUMIF(B$2:B14,B14,Q$2:Q14),""))</f>
        <v/>
      </c>
    </row>
    <row r="15">
      <c r="A15" s="1" t="n">
        <v>45247.60371527778</v>
      </c>
      <c r="B15" t="inlineStr">
        <is>
          <t>1000356</t>
        </is>
      </c>
      <c r="D15" t="inlineStr">
        <is>
          <t>8004505522501000341</t>
        </is>
      </c>
      <c r="E15" t="inlineStr">
        <is>
          <t>(S) SPINAL CAMERA LIGHT HANDLE (THEATRE 17)</t>
        </is>
      </c>
      <c r="F15" t="inlineStr">
        <is>
          <t>PACKING</t>
        </is>
      </c>
      <c r="G15" t="n">
        <v>16</v>
      </c>
      <c r="H15" t="inlineStr">
        <is>
          <t>8004505522501000341</t>
        </is>
      </c>
      <c r="I15" t="inlineStr">
        <is>
          <t>GIAI</t>
        </is>
      </c>
      <c r="J15" t="inlineStr">
        <is>
          <t>IAP Packing</t>
        </is>
      </c>
      <c r="K15" t="inlineStr">
        <is>
          <t>Success</t>
        </is>
      </c>
      <c r="M15" t="inlineStr">
        <is>
          <t>MAXINESHARP</t>
        </is>
      </c>
      <c r="N15" t="inlineStr">
        <is>
          <t>NUH - IAP Area Login</t>
        </is>
      </c>
      <c r="O15" t="inlineStr">
        <is>
          <t>QSTER2110003</t>
        </is>
      </c>
      <c r="P15" t="inlineStr">
        <is>
          <t>Nottingham University Hospitals</t>
        </is>
      </c>
      <c r="Q15" s="9">
        <f>IF(AND(LEFT(F15,2)="off",(LEFT(F15,2)="aut")),0,IF(AND(LEFT(F15,2)="off",(LEFT(F15,4)="In D")),0,IF(A15-A14&lt;0,0,A15-A14)))</f>
        <v/>
      </c>
      <c r="R15" s="3">
        <f>IF(F15="Autoclave completed",COUNTIFS(F$2:F15,"Autoclave completed",B$2:B15,B15),"")</f>
        <v/>
      </c>
      <c r="S15" s="3">
        <f>COUNTIFS(F:F,"Autoclave completed",B:B,B15)</f>
        <v/>
      </c>
      <c r="T15" s="3">
        <f>IF(R15=S15,"Total",IF(AND(R15=1,S15=2),"Subtotal",""))</f>
        <v/>
      </c>
      <c r="U15" s="9">
        <f>IF(T15="Total",SUMIFS(Q$2:Q15,B$2:B15,B15,T$2:T15,"&lt;&gt;subtotal"),IF(T15="Subtotal",SUMIF(B$2:B15,B15,Q$2:Q15),""))</f>
        <v/>
      </c>
      <c r="V15" s="9">
        <f>IF(T15="Total",SUMIFS(Q$2:Q15,B$2:B15,B15)-SUMIFS(V$1:V14,B$2:B15,B15,T$1:T14,"subtotal"),IF(T15="Subtotal",SUMIF(B$2:B15,B15,Q$2:Q15),""))</f>
        <v/>
      </c>
    </row>
    <row r="16">
      <c r="A16" s="1" t="n">
        <v>45247.66311342592</v>
      </c>
      <c r="B16" t="inlineStr">
        <is>
          <t>1000356</t>
        </is>
      </c>
      <c r="D16" t="inlineStr">
        <is>
          <t>8004505522501000341</t>
        </is>
      </c>
      <c r="E16" t="inlineStr">
        <is>
          <t>(S) SPINAL CAMERA LIGHT HANDLE (THEATRE 17)</t>
        </is>
      </c>
      <c r="F16" t="inlineStr">
        <is>
          <t>AUTOCLAVE COMPLETED</t>
        </is>
      </c>
      <c r="G16" t="n">
        <v>16</v>
      </c>
      <c r="H16" t="inlineStr">
        <is>
          <t>800450552250100034100016</t>
        </is>
      </c>
      <c r="I16" t="inlineStr">
        <is>
          <t>GIAI</t>
        </is>
      </c>
      <c r="J16" t="inlineStr">
        <is>
          <t>Despatch Issue</t>
        </is>
      </c>
      <c r="K16" t="inlineStr">
        <is>
          <t>Success</t>
        </is>
      </c>
      <c r="M16" t="inlineStr">
        <is>
          <t>SREEJITHPRABHAKARAN</t>
        </is>
      </c>
      <c r="N16" t="inlineStr">
        <is>
          <t>NUH - Autoclave Area Login</t>
        </is>
      </c>
      <c r="O16" t="inlineStr">
        <is>
          <t>QSTER2110005</t>
        </is>
      </c>
      <c r="P16" t="inlineStr">
        <is>
          <t>Nottingham University Hospitals</t>
        </is>
      </c>
      <c r="Q16" s="9">
        <f>IF(AND(LEFT(F16,2)="off",(LEFT(F16,2)="aut")),0,IF(AND(LEFT(F16,2)="off",(LEFT(F16,4)="In D")),0,IF(A16-A15&lt;0,0,A16-A15)))</f>
        <v/>
      </c>
      <c r="R16" s="3">
        <f>IF(F16="Autoclave completed",COUNTIFS(F$2:F16,"Autoclave completed",B$2:B16,B16),"")</f>
        <v/>
      </c>
      <c r="S16" s="3">
        <f>COUNTIFS(F:F,"Autoclave completed",B:B,B16)</f>
        <v/>
      </c>
      <c r="T16" s="3">
        <f>IF(R16=S16,"Total",IF(AND(R16=1,S16=2),"Subtotal",""))</f>
        <v/>
      </c>
      <c r="U16" s="9">
        <f>IF(T16="Total",SUMIFS(Q$2:Q16,B$2:B16,B16,T$2:T16,"&lt;&gt;subtotal"),IF(T16="Subtotal",SUMIF(B$2:B16,B16,Q$2:Q16),""))</f>
        <v/>
      </c>
      <c r="V16" s="9">
        <f>IF(T16="Total",SUMIFS(Q$2:Q16,B$2:B16,B16)-SUMIFS(V$1:V15,B$2:B16,B16,T$1:T15,"subtotal"),IF(T16="Subtotal",SUMIF(B$2:B16,B16,Q$2:Q16),""))</f>
        <v/>
      </c>
    </row>
    <row r="17">
      <c r="A17" s="1" t="n">
        <v>45245.4653587963</v>
      </c>
      <c r="B17" t="inlineStr">
        <is>
          <t>1000530</t>
        </is>
      </c>
      <c r="D17" t="inlineStr">
        <is>
          <t>8004505522501000515</t>
        </is>
      </c>
      <c r="E17" t="inlineStr">
        <is>
          <t>MAX-F T.M.J. WASHOUT TRAY</t>
        </is>
      </c>
      <c r="F17" t="inlineStr">
        <is>
          <t>WASHER COMPLETED</t>
        </is>
      </c>
      <c r="G17" t="n">
        <v>37</v>
      </c>
      <c r="H17" t="inlineStr">
        <is>
          <t>8004505522501000515</t>
        </is>
      </c>
      <c r="I17" t="inlineStr">
        <is>
          <t>GIAI</t>
        </is>
      </c>
      <c r="J17" t="inlineStr">
        <is>
          <t>IAP Packing</t>
        </is>
      </c>
      <c r="K17" t="inlineStr">
        <is>
          <t>Success</t>
        </is>
      </c>
      <c r="M17" t="inlineStr">
        <is>
          <t>[Person_6]</t>
        </is>
      </c>
      <c r="N17" t="inlineStr">
        <is>
          <t>NUH - IAP Area Login</t>
        </is>
      </c>
      <c r="O17" t="inlineStr">
        <is>
          <t>S4RM9789</t>
        </is>
      </c>
      <c r="P17" t="inlineStr">
        <is>
          <t>Nottingham University Hospitals</t>
        </is>
      </c>
      <c r="Q17" s="9">
        <f>IF(AND(LEFT(F17,2)="off",(LEFT(F17,2)="aut")),0,IF(AND(LEFT(F17,2)="off",(LEFT(F17,4)="In D")),0,IF(A17-A16&lt;0,0,A17-A16)))</f>
        <v/>
      </c>
      <c r="R17" s="3">
        <f>IF(F17="Autoclave completed",COUNTIFS(F$2:F17,"Autoclave completed",B$2:B17,B17),"")</f>
        <v/>
      </c>
      <c r="S17" s="3">
        <f>COUNTIFS(F:F,"Autoclave completed",B:B,B17)</f>
        <v/>
      </c>
      <c r="T17" s="3">
        <f>IF(R17=S17,"Total",IF(AND(R17=1,S17=2),"Subtotal",""))</f>
        <v/>
      </c>
      <c r="U17" s="9">
        <f>IF(T17="Total",SUMIFS(Q$2:Q17,B$2:B17,B17,T$2:T17,"&lt;&gt;subtotal"),IF(T17="Subtotal",SUMIF(B$2:B17,B17,Q$2:Q17),""))</f>
        <v/>
      </c>
      <c r="V17" s="9">
        <f>IF(T17="Total",SUMIFS(Q$2:Q17,B$2:B17,B17)-SUMIFS(V$1:V16,B$2:B17,B17,T$1:T16,"subtotal"),IF(T17="Subtotal",SUMIF(B$2:B17,B17,Q$2:Q17),""))</f>
        <v/>
      </c>
    </row>
    <row r="18">
      <c r="A18" s="1" t="n">
        <v>45245.4699537037</v>
      </c>
      <c r="B18" t="inlineStr">
        <is>
          <t>1000530</t>
        </is>
      </c>
      <c r="D18" t="inlineStr">
        <is>
          <t>8004505522501000515</t>
        </is>
      </c>
      <c r="E18" t="inlineStr">
        <is>
          <t>MAX-F T.M.J. WASHOUT TRAY</t>
        </is>
      </c>
      <c r="F18" t="inlineStr">
        <is>
          <t>PACKING</t>
        </is>
      </c>
      <c r="G18" t="n">
        <v>38</v>
      </c>
      <c r="H18" t="inlineStr">
        <is>
          <t>800450552250100051500038</t>
        </is>
      </c>
      <c r="I18" t="inlineStr">
        <is>
          <t>GIAI</t>
        </is>
      </c>
      <c r="J18" t="inlineStr">
        <is>
          <t>IAP Pack Timer</t>
        </is>
      </c>
      <c r="K18" t="inlineStr">
        <is>
          <t>Success</t>
        </is>
      </c>
      <c r="M18" t="inlineStr">
        <is>
          <t>[Person_6]</t>
        </is>
      </c>
      <c r="N18" t="inlineStr">
        <is>
          <t>NUH - IAP Area Login</t>
        </is>
      </c>
      <c r="O18" t="inlineStr">
        <is>
          <t>S4RM9789</t>
        </is>
      </c>
      <c r="P18" t="inlineStr">
        <is>
          <t>Nottingham University Hospitals</t>
        </is>
      </c>
      <c r="Q18" s="9">
        <f>IF(AND(LEFT(F18,2)="off",(LEFT(F18,2)="aut")),0,IF(AND(LEFT(F18,2)="off",(LEFT(F18,4)="In D")),0,IF(A18-A17&lt;0,0,A18-A17)))</f>
        <v/>
      </c>
      <c r="R18" s="3">
        <f>IF(F18="Autoclave completed",COUNTIFS(F$2:F18,"Autoclave completed",B$2:B18,B18),"")</f>
        <v/>
      </c>
      <c r="S18" s="3">
        <f>COUNTIFS(F:F,"Autoclave completed",B:B,B18)</f>
        <v/>
      </c>
      <c r="T18" s="3">
        <f>IF(R18=S18,"Total",IF(AND(R18=1,S18=2),"Subtotal",""))</f>
        <v/>
      </c>
      <c r="U18" s="9">
        <f>IF(T18="Total",SUMIFS(Q$2:Q18,B$2:B18,B18,T$2:T18,"&lt;&gt;subtotal"),IF(T18="Subtotal",SUMIF(B$2:B18,B18,Q$2:Q18),""))</f>
        <v/>
      </c>
      <c r="V18" s="9">
        <f>IF(T18="Total",SUMIFS(Q$2:Q18,B$2:B18,B18)-SUMIFS(V$1:V17,B$2:B18,B18,T$1:T17,"subtotal"),IF(T18="Subtotal",SUMIF(B$2:B18,B18,Q$2:Q18),""))</f>
        <v/>
      </c>
    </row>
    <row r="19">
      <c r="A19" s="1" t="n">
        <v>45245.47013888889</v>
      </c>
      <c r="B19" t="inlineStr">
        <is>
          <t>1000530</t>
        </is>
      </c>
      <c r="D19" t="inlineStr">
        <is>
          <t>8004505522501000515</t>
        </is>
      </c>
      <c r="E19" t="inlineStr">
        <is>
          <t>MAX-F T.M.J. WASHOUT TRAY</t>
        </is>
      </c>
      <c r="F19" t="inlineStr">
        <is>
          <t>PACKED</t>
        </is>
      </c>
      <c r="G19" t="n">
        <v>38</v>
      </c>
      <c r="H19" t="inlineStr">
        <is>
          <t>800450552250100051500038</t>
        </is>
      </c>
      <c r="I19" t="inlineStr">
        <is>
          <t>GIAI</t>
        </is>
      </c>
      <c r="J19" t="inlineStr">
        <is>
          <t>IAP Packing</t>
        </is>
      </c>
      <c r="K19" t="inlineStr">
        <is>
          <t>Success</t>
        </is>
      </c>
      <c r="M19" t="inlineStr">
        <is>
          <t>[Person_6]</t>
        </is>
      </c>
      <c r="N19" t="inlineStr">
        <is>
          <t>NUH - IAP Area Login</t>
        </is>
      </c>
      <c r="O19" t="inlineStr">
        <is>
          <t>S4RM9789</t>
        </is>
      </c>
      <c r="P19" t="inlineStr">
        <is>
          <t>Nottingham University Hospitals</t>
        </is>
      </c>
      <c r="Q19" s="9">
        <f>IF(AND(LEFT(F19,2)="off",(LEFT(F19,2)="aut")),0,IF(AND(LEFT(F19,2)="off",(LEFT(F19,4)="In D")),0,IF(A19-A18&lt;0,0,A19-A18)))</f>
        <v/>
      </c>
      <c r="R19" s="3">
        <f>IF(F19="Autoclave completed",COUNTIFS(F$2:F19,"Autoclave completed",B$2:B19,B19),"")</f>
        <v/>
      </c>
      <c r="S19" s="3">
        <f>COUNTIFS(F:F,"Autoclave completed",B:B,B19)</f>
        <v/>
      </c>
      <c r="T19" s="3">
        <f>IF(R19=S19,"Total",IF(AND(R19=1,S19=2),"Subtotal",""))</f>
        <v/>
      </c>
      <c r="U19" s="9">
        <f>IF(T19="Total",SUMIFS(Q$2:Q19,B$2:B19,B19,T$2:T19,"&lt;&gt;subtotal"),IF(T19="Subtotal",SUMIF(B$2:B19,B19,Q$2:Q19),""))</f>
        <v/>
      </c>
      <c r="V19" s="9">
        <f>IF(T19="Total",SUMIFS(Q$2:Q19,B$2:B19,B19)-SUMIFS(V$1:V18,B$2:B19,B19,T$1:T18,"subtotal"),IF(T19="Subtotal",SUMIF(B$2:B19,B19,Q$2:Q19),""))</f>
        <v/>
      </c>
    </row>
    <row r="20">
      <c r="A20" s="1" t="n">
        <v>45245.54387731481</v>
      </c>
      <c r="B20" t="inlineStr">
        <is>
          <t>1000530</t>
        </is>
      </c>
      <c r="D20" t="inlineStr">
        <is>
          <t>8004505522501000515</t>
        </is>
      </c>
      <c r="E20" t="inlineStr">
        <is>
          <t>MAX-F T.M.J. WASHOUT TRAY</t>
        </is>
      </c>
      <c r="F20" t="inlineStr">
        <is>
          <t>AUTOCLAVE COMPLETED</t>
        </is>
      </c>
      <c r="G20" t="n">
        <v>38</v>
      </c>
      <c r="H20" t="inlineStr">
        <is>
          <t>800450552250100051500038</t>
        </is>
      </c>
      <c r="I20" t="inlineStr">
        <is>
          <t>GIAI</t>
        </is>
      </c>
      <c r="J20" t="inlineStr">
        <is>
          <t>Despatch Issue</t>
        </is>
      </c>
      <c r="K20" t="inlineStr">
        <is>
          <t>Success</t>
        </is>
      </c>
      <c r="M20" t="inlineStr">
        <is>
          <t>CHLOE COYLE</t>
        </is>
      </c>
      <c r="N20" t="inlineStr">
        <is>
          <t>NUH - Autoclave Area Login</t>
        </is>
      </c>
      <c r="O20" t="inlineStr">
        <is>
          <t>QSTER2110005</t>
        </is>
      </c>
      <c r="P20" t="inlineStr">
        <is>
          <t>Nottingham University Hospitals</t>
        </is>
      </c>
      <c r="Q20" s="9">
        <f>IF(AND(LEFT(F20,2)="off",(LEFT(F20,2)="aut")),0,IF(AND(LEFT(F20,2)="off",(LEFT(F20,4)="In D")),0,IF(A20-A19&lt;0,0,A20-A19)))</f>
        <v/>
      </c>
      <c r="R20" s="3">
        <f>IF(F20="Autoclave completed",COUNTIFS(F$2:F20,"Autoclave completed",B$2:B20,B20),"")</f>
        <v/>
      </c>
      <c r="S20" s="3">
        <f>COUNTIFS(F:F,"Autoclave completed",B:B,B20)</f>
        <v/>
      </c>
      <c r="T20" s="3">
        <f>IF(R20=S20,"Total",IF(AND(R20=1,S20=2),"Subtotal",""))</f>
        <v/>
      </c>
      <c r="U20" s="9">
        <f>IF(T20="Total",SUMIFS(Q$2:Q20,B$2:B20,B20,T$2:T20,"&lt;&gt;subtotal"),IF(T20="Subtotal",SUMIF(B$2:B20,B20,Q$2:Q20),""))</f>
        <v/>
      </c>
      <c r="V20" s="9">
        <f>IF(T20="Total",SUMIFS(Q$2:Q20,B$2:B20,B20)-SUMIFS(V$1:V19,B$2:B20,B20,T$1:T19,"subtotal"),IF(T20="Subtotal",SUMIF(B$2:B20,B20,Q$2:Q20),""))</f>
        <v/>
      </c>
    </row>
    <row r="21">
      <c r="A21" s="1" t="n">
        <v>45243.28140046296</v>
      </c>
      <c r="B21" t="inlineStr">
        <is>
          <t>1000561</t>
        </is>
      </c>
      <c r="D21" t="inlineStr">
        <is>
          <t>8004505522501000546</t>
        </is>
      </c>
      <c r="E21" t="inlineStr">
        <is>
          <t>MAX-F ILIAC CREST BONE GRAFT TRAY</t>
        </is>
      </c>
      <c r="F21" t="inlineStr">
        <is>
          <t>WASHER COMPLETED</t>
        </is>
      </c>
      <c r="G21" t="n">
        <v>22</v>
      </c>
      <c r="H21" t="inlineStr">
        <is>
          <t>8004505522501000546</t>
        </is>
      </c>
      <c r="I21" t="inlineStr">
        <is>
          <t>GIAI</t>
        </is>
      </c>
      <c r="J21" t="inlineStr">
        <is>
          <t>IAP Packing</t>
        </is>
      </c>
      <c r="K21" t="inlineStr">
        <is>
          <t>Success</t>
        </is>
      </c>
      <c r="M21" t="inlineStr">
        <is>
          <t>NICKSHARMA</t>
        </is>
      </c>
      <c r="N21" t="inlineStr">
        <is>
          <t>NUH - IAP Area Login</t>
        </is>
      </c>
      <c r="O21" t="inlineStr">
        <is>
          <t>S4RM9789</t>
        </is>
      </c>
      <c r="P21" t="inlineStr">
        <is>
          <t>Nottingham University Hospitals</t>
        </is>
      </c>
      <c r="Q21" s="9">
        <f>IF(AND(LEFT(F21,2)="off",(LEFT(F21,2)="aut")),0,IF(AND(LEFT(F21,2)="off",(LEFT(F21,4)="In D")),0,IF(A21-A20&lt;0,0,A21-A20)))</f>
        <v/>
      </c>
      <c r="R21" s="3">
        <f>IF(F21="Autoclave completed",COUNTIFS(F$2:F21,"Autoclave completed",B$2:B21,B21),"")</f>
        <v/>
      </c>
      <c r="S21" s="3">
        <f>COUNTIFS(F:F,"Autoclave completed",B:B,B21)</f>
        <v/>
      </c>
      <c r="T21" s="3">
        <f>IF(R21=S21,"Total",IF(AND(R21=1,S21=2),"Subtotal",""))</f>
        <v/>
      </c>
      <c r="U21" s="9">
        <f>IF(T21="Total",SUMIFS(Q$2:Q21,B$2:B21,B21,T$2:T21,"&lt;&gt;subtotal"),IF(T21="Subtotal",SUMIF(B$2:B21,B21,Q$2:Q21),""))</f>
        <v/>
      </c>
      <c r="V21" s="9">
        <f>IF(T21="Total",SUMIFS(Q$2:Q21,B$2:B21,B21)-SUMIFS(V$1:V20,B$2:B21,B21,T$1:T20,"subtotal"),IF(T21="Subtotal",SUMIF(B$2:B21,B21,Q$2:Q21),""))</f>
        <v/>
      </c>
    </row>
    <row r="22">
      <c r="A22" s="1" t="n">
        <v>45243.28921296296</v>
      </c>
      <c r="B22" t="inlineStr">
        <is>
          <t>1000561</t>
        </is>
      </c>
      <c r="D22" t="inlineStr">
        <is>
          <t>8004505522501000546</t>
        </is>
      </c>
      <c r="E22" t="inlineStr">
        <is>
          <t>MAX-F ILIAC CREST BONE GRAFT TRAY</t>
        </is>
      </c>
      <c r="F22" t="inlineStr">
        <is>
          <t>PACKING</t>
        </is>
      </c>
      <c r="G22" t="n">
        <v>23</v>
      </c>
      <c r="H22" t="inlineStr">
        <is>
          <t>800450552250100054600023</t>
        </is>
      </c>
      <c r="I22" t="inlineStr">
        <is>
          <t>GIAI</t>
        </is>
      </c>
      <c r="J22" t="inlineStr">
        <is>
          <t>IAP Pack Timer</t>
        </is>
      </c>
      <c r="K22" t="inlineStr">
        <is>
          <t>Success</t>
        </is>
      </c>
      <c r="M22" t="inlineStr">
        <is>
          <t>NICKSHARMA</t>
        </is>
      </c>
      <c r="N22" t="inlineStr">
        <is>
          <t>NUH - IAP Area Login</t>
        </is>
      </c>
      <c r="O22" t="inlineStr">
        <is>
          <t>S4RM9789</t>
        </is>
      </c>
      <c r="P22" t="inlineStr">
        <is>
          <t>Nottingham University Hospitals</t>
        </is>
      </c>
      <c r="Q22" s="9">
        <f>IF(AND(LEFT(F22,2)="off",(LEFT(F22,2)="aut")),0,IF(AND(LEFT(F22,2)="off",(LEFT(F22,4)="In D")),0,IF(A22-A21&lt;0,0,A22-A21)))</f>
        <v/>
      </c>
      <c r="R22" s="3">
        <f>IF(F22="Autoclave completed",COUNTIFS(F$2:F22,"Autoclave completed",B$2:B22,B22),"")</f>
        <v/>
      </c>
      <c r="S22" s="3">
        <f>COUNTIFS(F:F,"Autoclave completed",B:B,B22)</f>
        <v/>
      </c>
      <c r="T22" s="3">
        <f>IF(R22=S22,"Total",IF(AND(R22=1,S22=2),"Subtotal",""))</f>
        <v/>
      </c>
      <c r="U22" s="9">
        <f>IF(T22="Total",SUMIFS(Q$2:Q22,B$2:B22,B22,T$2:T22,"&lt;&gt;subtotal"),IF(T22="Subtotal",SUMIF(B$2:B22,B22,Q$2:Q22),""))</f>
        <v/>
      </c>
      <c r="V22" s="9">
        <f>IF(T22="Total",SUMIFS(Q$2:Q22,B$2:B22,B22)-SUMIFS(V$1:V21,B$2:B22,B22,T$1:T21,"subtotal"),IF(T22="Subtotal",SUMIF(B$2:B22,B22,Q$2:Q22),""))</f>
        <v/>
      </c>
    </row>
    <row r="23">
      <c r="A23" s="1" t="n">
        <v>45243.28935185185</v>
      </c>
      <c r="B23" t="inlineStr">
        <is>
          <t>1000561</t>
        </is>
      </c>
      <c r="D23" t="inlineStr">
        <is>
          <t>8004505522501000546</t>
        </is>
      </c>
      <c r="E23" t="inlineStr">
        <is>
          <t>MAX-F ILIAC CREST BONE GRAFT TRAY</t>
        </is>
      </c>
      <c r="F23" t="inlineStr">
        <is>
          <t>PACKED</t>
        </is>
      </c>
      <c r="G23" t="n">
        <v>23</v>
      </c>
      <c r="H23" t="inlineStr">
        <is>
          <t>800450552250100054600023</t>
        </is>
      </c>
      <c r="I23" t="inlineStr">
        <is>
          <t>GIAI</t>
        </is>
      </c>
      <c r="J23" t="inlineStr">
        <is>
          <t>IAP Packing</t>
        </is>
      </c>
      <c r="K23" t="inlineStr">
        <is>
          <t>Success</t>
        </is>
      </c>
      <c r="M23" t="inlineStr">
        <is>
          <t>NICKSHARMA</t>
        </is>
      </c>
      <c r="N23" t="inlineStr">
        <is>
          <t>NUH - IAP Area Login</t>
        </is>
      </c>
      <c r="O23" t="inlineStr">
        <is>
          <t>S4RM9789</t>
        </is>
      </c>
      <c r="P23" t="inlineStr">
        <is>
          <t>Nottingham University Hospitals</t>
        </is>
      </c>
      <c r="Q23" s="9">
        <f>IF(AND(LEFT(F23,2)="off",(LEFT(F23,2)="aut")),0,IF(AND(LEFT(F23,2)="off",(LEFT(F23,4)="In D")),0,IF(A23-A22&lt;0,0,A23-A22)))</f>
        <v/>
      </c>
      <c r="R23" s="3">
        <f>IF(F23="Autoclave completed",COUNTIFS(F$2:F23,"Autoclave completed",B$2:B23,B23),"")</f>
        <v/>
      </c>
      <c r="S23" s="3">
        <f>COUNTIFS(F:F,"Autoclave completed",B:B,B23)</f>
        <v/>
      </c>
      <c r="T23" s="3">
        <f>IF(R23=S23,"Total",IF(AND(R23=1,S23=2),"Subtotal",""))</f>
        <v/>
      </c>
      <c r="U23" s="9">
        <f>IF(T23="Total",SUMIFS(Q$2:Q23,B$2:B23,B23,T$2:T23,"&lt;&gt;subtotal"),IF(T23="Subtotal",SUMIF(B$2:B23,B23,Q$2:Q23),""))</f>
        <v/>
      </c>
      <c r="V23" s="9">
        <f>IF(T23="Total",SUMIFS(Q$2:Q23,B$2:B23,B23)-SUMIFS(V$1:V22,B$2:B23,B23,T$1:T22,"subtotal"),IF(T23="Subtotal",SUMIF(B$2:B23,B23,Q$2:Q23),""))</f>
        <v/>
      </c>
    </row>
    <row r="24">
      <c r="A24" s="1" t="n">
        <v>45243.35900462963</v>
      </c>
      <c r="B24" t="inlineStr">
        <is>
          <t>1000561</t>
        </is>
      </c>
      <c r="D24" t="inlineStr">
        <is>
          <t>8004505522501000546</t>
        </is>
      </c>
      <c r="E24" t="inlineStr">
        <is>
          <t>MAX-F ILIAC CREST BONE GRAFT TRAY</t>
        </is>
      </c>
      <c r="F24" t="inlineStr">
        <is>
          <t>AUTOCLAVE COMPLETED</t>
        </is>
      </c>
      <c r="G24" t="n">
        <v>23</v>
      </c>
      <c r="H24" t="inlineStr">
        <is>
          <t>800450552250100054600023</t>
        </is>
      </c>
      <c r="I24" t="inlineStr">
        <is>
          <t>GIAI</t>
        </is>
      </c>
      <c r="J24" t="inlineStr">
        <is>
          <t>Despatch Issue</t>
        </is>
      </c>
      <c r="K24" t="inlineStr">
        <is>
          <t>Success</t>
        </is>
      </c>
      <c r="M24" t="inlineStr">
        <is>
          <t>GARETHSTEVENSON</t>
        </is>
      </c>
      <c r="N24" t="inlineStr">
        <is>
          <t>NUH - Autoclave Area Login</t>
        </is>
      </c>
      <c r="O24" t="inlineStr">
        <is>
          <t>QSTER2110005</t>
        </is>
      </c>
      <c r="P24" t="inlineStr">
        <is>
          <t>Nottingham University Hospitals</t>
        </is>
      </c>
      <c r="Q24" s="9">
        <f>IF(AND(LEFT(F24,2)="off",(LEFT(F24,2)="aut")),0,IF(AND(LEFT(F24,2)="off",(LEFT(F24,4)="In D")),0,IF(A24-A23&lt;0,0,A24-A23)))</f>
        <v/>
      </c>
      <c r="R24" s="3">
        <f>IF(F24="Autoclave completed",COUNTIFS(F$2:F24,"Autoclave completed",B$2:B24,B24),"")</f>
        <v/>
      </c>
      <c r="S24" s="3">
        <f>COUNTIFS(F:F,"Autoclave completed",B:B,B24)</f>
        <v/>
      </c>
      <c r="T24" s="3">
        <f>IF(R24=S24,"Total",IF(AND(R24=1,S24=2),"Subtotal",""))</f>
        <v/>
      </c>
      <c r="U24" s="9">
        <f>IF(T24="Total",SUMIFS(Q$2:Q24,B$2:B24,B24,T$2:T24,"&lt;&gt;subtotal"),IF(T24="Subtotal",SUMIF(B$2:B24,B24,Q$2:Q24),""))</f>
        <v/>
      </c>
      <c r="V24" s="9">
        <f>IF(T24="Total",SUMIFS(Q$2:Q24,B$2:B24,B24)-SUMIFS(V$1:V23,B$2:B24,B24,T$1:T23,"subtotal"),IF(T24="Subtotal",SUMIF(B$2:B24,B24,Q$2:Q24),""))</f>
        <v/>
      </c>
    </row>
    <row r="25">
      <c r="A25" s="1" t="n">
        <v>45243.29085648148</v>
      </c>
      <c r="B25" t="inlineStr">
        <is>
          <t>1000562</t>
        </is>
      </c>
      <c r="D25" t="inlineStr">
        <is>
          <t>8004505522501000547</t>
        </is>
      </c>
      <c r="E25" t="inlineStr">
        <is>
          <t>MAX-F ILIAC CREST BONE GRAFT TRAY</t>
        </is>
      </c>
      <c r="F25" t="inlineStr">
        <is>
          <t>WASHER COMPLETED</t>
        </is>
      </c>
      <c r="G25" t="n">
        <v>19</v>
      </c>
      <c r="H25" t="inlineStr">
        <is>
          <t>8004505522501000547</t>
        </is>
      </c>
      <c r="I25" t="inlineStr">
        <is>
          <t>GIAI</t>
        </is>
      </c>
      <c r="J25" t="inlineStr">
        <is>
          <t>IAP Packing</t>
        </is>
      </c>
      <c r="K25" t="inlineStr">
        <is>
          <t>Success</t>
        </is>
      </c>
      <c r="M25" t="inlineStr">
        <is>
          <t>NICKSHARMA</t>
        </is>
      </c>
      <c r="N25" t="inlineStr">
        <is>
          <t>NUH - IAP Area Login</t>
        </is>
      </c>
      <c r="O25" t="inlineStr">
        <is>
          <t>S4RM9789</t>
        </is>
      </c>
      <c r="P25" t="inlineStr">
        <is>
          <t>Nottingham University Hospitals</t>
        </is>
      </c>
      <c r="Q25" s="9">
        <f>IF(AND(LEFT(F25,2)="off",(LEFT(F25,2)="aut")),0,IF(AND(LEFT(F25,2)="off",(LEFT(F25,4)="In D")),0,IF(A25-A24&lt;0,0,A25-A24)))</f>
        <v/>
      </c>
      <c r="R25" s="3">
        <f>IF(F25="Autoclave completed",COUNTIFS(F$2:F25,"Autoclave completed",B$2:B25,B25),"")</f>
        <v/>
      </c>
      <c r="S25" s="3">
        <f>COUNTIFS(F:F,"Autoclave completed",B:B,B25)</f>
        <v/>
      </c>
      <c r="T25" s="3">
        <f>IF(R25=S25,"Total",IF(AND(R25=1,S25=2),"Subtotal",""))</f>
        <v/>
      </c>
      <c r="U25" s="9">
        <f>IF(T25="Total",SUMIFS(Q$2:Q25,B$2:B25,B25,T$2:T25,"&lt;&gt;subtotal"),IF(T25="Subtotal",SUMIF(B$2:B25,B25,Q$2:Q25),""))</f>
        <v/>
      </c>
      <c r="V25" s="9">
        <f>IF(T25="Total",SUMIFS(Q$2:Q25,B$2:B25,B25)-SUMIFS(V$1:V24,B$2:B25,B25,T$1:T24,"subtotal"),IF(T25="Subtotal",SUMIF(B$2:B25,B25,Q$2:Q25),""))</f>
        <v/>
      </c>
    </row>
    <row r="26">
      <c r="A26" s="1" t="n">
        <v>45243.59509259259</v>
      </c>
      <c r="B26" t="inlineStr">
        <is>
          <t>1000562</t>
        </is>
      </c>
      <c r="D26" t="inlineStr">
        <is>
          <t>8004505522501000547</t>
        </is>
      </c>
      <c r="E26" t="inlineStr">
        <is>
          <t>MAX-F ILIAC CREST BONE GRAFT TRAY</t>
        </is>
      </c>
      <c r="F26" t="inlineStr">
        <is>
          <t>PACKING</t>
        </is>
      </c>
      <c r="G26" t="n">
        <v>20</v>
      </c>
      <c r="H26" t="inlineStr">
        <is>
          <t>8004505522501000547</t>
        </is>
      </c>
      <c r="I26" t="inlineStr">
        <is>
          <t>GIAI</t>
        </is>
      </c>
      <c r="J26" t="inlineStr">
        <is>
          <t>IAP Packing</t>
        </is>
      </c>
      <c r="K26" t="inlineStr">
        <is>
          <t>Success</t>
        </is>
      </c>
      <c r="M26" t="inlineStr">
        <is>
          <t>RUBENSTERRA</t>
        </is>
      </c>
      <c r="N26" t="inlineStr">
        <is>
          <t>NUH - IAP Area Login</t>
        </is>
      </c>
      <c r="O26" t="inlineStr">
        <is>
          <t>S4RM9789</t>
        </is>
      </c>
      <c r="P26" t="inlineStr">
        <is>
          <t>Nottingham University Hospitals</t>
        </is>
      </c>
      <c r="Q26" s="9">
        <f>IF(AND(LEFT(F26,2)="off",(LEFT(F26,2)="aut")),0,IF(AND(LEFT(F26,2)="off",(LEFT(F26,4)="In D")),0,IF(A26-A25&lt;0,0,A26-A25)))</f>
        <v/>
      </c>
      <c r="R26" s="3">
        <f>IF(F26="Autoclave completed",COUNTIFS(F$2:F26,"Autoclave completed",B$2:B26,B26),"")</f>
        <v/>
      </c>
      <c r="S26" s="3">
        <f>COUNTIFS(F:F,"Autoclave completed",B:B,B26)</f>
        <v/>
      </c>
      <c r="T26" s="3">
        <f>IF(R26=S26,"Total",IF(AND(R26=1,S26=2),"Subtotal",""))</f>
        <v/>
      </c>
      <c r="U26" s="9">
        <f>IF(T26="Total",SUMIFS(Q$2:Q26,B$2:B26,B26,T$2:T26,"&lt;&gt;subtotal"),IF(T26="Subtotal",SUMIF(B$2:B26,B26,Q$2:Q26),""))</f>
        <v/>
      </c>
      <c r="V26" s="9">
        <f>IF(T26="Total",SUMIFS(Q$2:Q26,B$2:B26,B26)-SUMIFS(V$1:V25,B$2:B26,B26,T$1:T25,"subtotal"),IF(T26="Subtotal",SUMIF(B$2:B26,B26,Q$2:Q26),""))</f>
        <v/>
      </c>
    </row>
    <row r="27">
      <c r="A27" s="1" t="n">
        <v>45243.59680555556</v>
      </c>
      <c r="B27" t="inlineStr">
        <is>
          <t>1000562</t>
        </is>
      </c>
      <c r="D27" t="inlineStr">
        <is>
          <t>8004505522501000547</t>
        </is>
      </c>
      <c r="E27" t="inlineStr">
        <is>
          <t>MAX-F ILIAC CREST BONE GRAFT TRAY</t>
        </is>
      </c>
      <c r="F27" t="inlineStr">
        <is>
          <t>PACKING</t>
        </is>
      </c>
      <c r="G27" t="n">
        <v>20</v>
      </c>
      <c r="H27" t="inlineStr">
        <is>
          <t>800450552250100054700020</t>
        </is>
      </c>
      <c r="I27" t="inlineStr">
        <is>
          <t>GIAI</t>
        </is>
      </c>
      <c r="J27" t="inlineStr">
        <is>
          <t>IAP Pack Timer</t>
        </is>
      </c>
      <c r="K27" t="inlineStr">
        <is>
          <t>Success</t>
        </is>
      </c>
      <c r="M27" t="inlineStr">
        <is>
          <t>NICKSHARMA</t>
        </is>
      </c>
      <c r="N27" t="inlineStr">
        <is>
          <t>NUH - IAP Area Login</t>
        </is>
      </c>
      <c r="O27" t="inlineStr">
        <is>
          <t>S4RM9789</t>
        </is>
      </c>
      <c r="P27" t="inlineStr">
        <is>
          <t>Nottingham University Hospitals</t>
        </is>
      </c>
      <c r="Q27" s="9">
        <f>IF(AND(LEFT(F27,2)="off",(LEFT(F27,2)="aut")),0,IF(AND(LEFT(F27,2)="off",(LEFT(F27,4)="In D")),0,IF(A27-A26&lt;0,0,A27-A26)))</f>
        <v/>
      </c>
      <c r="R27" s="3">
        <f>IF(F27="Autoclave completed",COUNTIFS(F$2:F27,"Autoclave completed",B$2:B27,B27),"")</f>
        <v/>
      </c>
      <c r="S27" s="3">
        <f>COUNTIFS(F:F,"Autoclave completed",B:B,B27)</f>
        <v/>
      </c>
      <c r="T27" s="3">
        <f>IF(R27=S27,"Total",IF(AND(R27=1,S27=2),"Subtotal",""))</f>
        <v/>
      </c>
      <c r="U27" s="9">
        <f>IF(T27="Total",SUMIFS(Q$2:Q27,B$2:B27,B27,T$2:T27,"&lt;&gt;subtotal"),IF(T27="Subtotal",SUMIF(B$2:B27,B27,Q$2:Q27),""))</f>
        <v/>
      </c>
      <c r="V27" s="9">
        <f>IF(T27="Total",SUMIFS(Q$2:Q27,B$2:B27,B27)-SUMIFS(V$1:V26,B$2:B27,B27,T$1:T26,"subtotal"),IF(T27="Subtotal",SUMIF(B$2:B27,B27,Q$2:Q27),""))</f>
        <v/>
      </c>
    </row>
    <row r="28">
      <c r="A28" s="1" t="n">
        <v>45243.596875</v>
      </c>
      <c r="B28" t="inlineStr">
        <is>
          <t>1000562</t>
        </is>
      </c>
      <c r="D28" t="inlineStr">
        <is>
          <t>8004505522501000547</t>
        </is>
      </c>
      <c r="E28" t="inlineStr">
        <is>
          <t>MAX-F ILIAC CREST BONE GRAFT TRAY</t>
        </is>
      </c>
      <c r="F28" t="inlineStr">
        <is>
          <t>PACKED</t>
        </is>
      </c>
      <c r="G28" t="n">
        <v>20</v>
      </c>
      <c r="H28" t="inlineStr">
        <is>
          <t>800450552250100054700020</t>
        </is>
      </c>
      <c r="I28" t="inlineStr">
        <is>
          <t>GIAI</t>
        </is>
      </c>
      <c r="J28" t="inlineStr">
        <is>
          <t>IAP Packing</t>
        </is>
      </c>
      <c r="K28" t="inlineStr">
        <is>
          <t>Success</t>
        </is>
      </c>
      <c r="M28" t="inlineStr">
        <is>
          <t>NICKSHARMA</t>
        </is>
      </c>
      <c r="N28" t="inlineStr">
        <is>
          <t>NUH - IAP Area Login</t>
        </is>
      </c>
      <c r="O28" t="inlineStr">
        <is>
          <t>S4RM9789</t>
        </is>
      </c>
      <c r="P28" t="inlineStr">
        <is>
          <t>Nottingham University Hospitals</t>
        </is>
      </c>
      <c r="Q28" s="9">
        <f>IF(AND(LEFT(F28,2)="off",(LEFT(F28,2)="aut")),0,IF(AND(LEFT(F28,2)="off",(LEFT(F28,4)="In D")),0,IF(A28-A27&lt;0,0,A28-A27)))</f>
        <v/>
      </c>
      <c r="R28" s="3">
        <f>IF(F28="Autoclave completed",COUNTIFS(F$2:F28,"Autoclave completed",B$2:B28,B28),"")</f>
        <v/>
      </c>
      <c r="S28" s="3">
        <f>COUNTIFS(F:F,"Autoclave completed",B:B,B28)</f>
        <v/>
      </c>
      <c r="T28" s="3">
        <f>IF(R28=S28,"Total",IF(AND(R28=1,S28=2),"Subtotal",""))</f>
        <v/>
      </c>
      <c r="U28" s="9">
        <f>IF(T28="Total",SUMIFS(Q$2:Q28,B$2:B28,B28,T$2:T28,"&lt;&gt;subtotal"),IF(T28="Subtotal",SUMIF(B$2:B28,B28,Q$2:Q28),""))</f>
        <v/>
      </c>
      <c r="V28" s="9">
        <f>IF(T28="Total",SUMIFS(Q$2:Q28,B$2:B28,B28)-SUMIFS(V$1:V27,B$2:B28,B28,T$1:T27,"subtotal"),IF(T28="Subtotal",SUMIF(B$2:B28,B28,Q$2:Q28),""))</f>
        <v/>
      </c>
    </row>
    <row r="29">
      <c r="A29" s="1" t="n">
        <v>45243.65991898148</v>
      </c>
      <c r="B29" t="inlineStr">
        <is>
          <t>1000562</t>
        </is>
      </c>
      <c r="D29" t="inlineStr">
        <is>
          <t>8004505522501000547</t>
        </is>
      </c>
      <c r="E29" t="inlineStr">
        <is>
          <t>MAX-F ILIAC CREST BONE GRAFT TRAY</t>
        </is>
      </c>
      <c r="F29" t="inlineStr">
        <is>
          <t>AUTOCLAVE COMPLETED</t>
        </is>
      </c>
      <c r="G29" t="n">
        <v>20</v>
      </c>
      <c r="H29" t="inlineStr">
        <is>
          <t>800450552250100054700020</t>
        </is>
      </c>
      <c r="I29" t="inlineStr">
        <is>
          <t>GIAI</t>
        </is>
      </c>
      <c r="J29" t="inlineStr">
        <is>
          <t>Despatch Issue</t>
        </is>
      </c>
      <c r="K29" t="inlineStr">
        <is>
          <t>Success</t>
        </is>
      </c>
      <c r="M29" t="inlineStr">
        <is>
          <t>KELLYFLANAGAN</t>
        </is>
      </c>
      <c r="N29" t="inlineStr">
        <is>
          <t>NUH - Autoclave Area Login</t>
        </is>
      </c>
      <c r="O29" t="inlineStr">
        <is>
          <t>QSTER2110005</t>
        </is>
      </c>
      <c r="P29" t="inlineStr">
        <is>
          <t>Nottingham University Hospitals</t>
        </is>
      </c>
      <c r="Q29" s="9">
        <f>IF(AND(LEFT(F29,2)="off",(LEFT(F29,2)="aut")),0,IF(AND(LEFT(F29,2)="off",(LEFT(F29,4)="In D")),0,IF(A29-A28&lt;0,0,A29-A28)))</f>
        <v/>
      </c>
      <c r="R29" s="3">
        <f>IF(F29="Autoclave completed",COUNTIFS(F$2:F29,"Autoclave completed",B$2:B29,B29),"")</f>
        <v/>
      </c>
      <c r="S29" s="3">
        <f>COUNTIFS(F:F,"Autoclave completed",B:B,B29)</f>
        <v/>
      </c>
      <c r="T29" s="3">
        <f>IF(R29=S29,"Total",IF(AND(R29=1,S29=2),"Subtotal",""))</f>
        <v/>
      </c>
      <c r="U29" s="9">
        <f>IF(T29="Total",SUMIFS(Q$2:Q29,B$2:B29,B29,T$2:T29,"&lt;&gt;subtotal"),IF(T29="Subtotal",SUMIF(B$2:B29,B29,Q$2:Q29),""))</f>
        <v/>
      </c>
      <c r="V29" s="9">
        <f>IF(T29="Total",SUMIFS(Q$2:Q29,B$2:B29,B29)-SUMIFS(V$1:V28,B$2:B29,B29,T$1:T28,"subtotal"),IF(T29="Subtotal",SUMIF(B$2:B29,B29,Q$2:Q29),""))</f>
        <v/>
      </c>
    </row>
    <row r="30">
      <c r="A30" s="1" t="n">
        <v>45244.78966435185</v>
      </c>
      <c r="B30" t="inlineStr">
        <is>
          <t>1000562</t>
        </is>
      </c>
      <c r="D30" t="inlineStr">
        <is>
          <t>8004505522501000547</t>
        </is>
      </c>
      <c r="E30" t="inlineStr">
        <is>
          <t>MAX-F ILIAC CREST BONE GRAFT TRAY</t>
        </is>
      </c>
      <c r="F30" t="inlineStr">
        <is>
          <t>OFF SITE (IN TRANSIT TO CUSTOMER)</t>
        </is>
      </c>
      <c r="G30" t="n">
        <v>20</v>
      </c>
      <c r="H30" t="inlineStr">
        <is>
          <t>800450552250100054700020</t>
        </is>
      </c>
      <c r="I30" t="inlineStr">
        <is>
          <t>GIAI</t>
        </is>
      </c>
      <c r="J30" t="inlineStr">
        <is>
          <t>Wash Area Return</t>
        </is>
      </c>
      <c r="K30" t="inlineStr">
        <is>
          <t>Success</t>
        </is>
      </c>
      <c r="M30" t="inlineStr">
        <is>
          <t>BINUBALAKRISHNA</t>
        </is>
      </c>
      <c r="N30" t="inlineStr">
        <is>
          <t>NUH - Dirty Area Login</t>
        </is>
      </c>
      <c r="O30" t="inlineStr">
        <is>
          <t>QSTER2110007</t>
        </is>
      </c>
      <c r="P30" t="inlineStr">
        <is>
          <t>Nottingham University Hospitals</t>
        </is>
      </c>
      <c r="Q30" s="9">
        <f>IF(AND(LEFT(F30,2)="off",(LEFT(F30,2)="aut")),0,IF(AND(LEFT(F30,2)="off",(LEFT(F30,4)="In D")),0,IF(A30-A29&lt;0,0,A30-A29)))</f>
        <v/>
      </c>
      <c r="R30" s="3">
        <f>IF(F30="Autoclave completed",COUNTIFS(F$2:F30,"Autoclave completed",B$2:B30,B30),"")</f>
        <v/>
      </c>
      <c r="S30" s="3">
        <f>COUNTIFS(F:F,"Autoclave completed",B:B,B30)</f>
        <v/>
      </c>
      <c r="T30" s="3">
        <f>IF(R30=S30,"Total",IF(AND(R30=1,S30=2),"Subtotal",""))</f>
        <v/>
      </c>
      <c r="U30" s="9">
        <f>IF(T30="Total",SUMIFS(Q$2:Q30,B$2:B30,B30,T$2:T30,"&lt;&gt;subtotal"),IF(T30="Subtotal",SUMIF(B$2:B30,B30,Q$2:Q30),""))</f>
        <v/>
      </c>
      <c r="V30" s="9">
        <f>IF(T30="Total",SUMIFS(Q$2:Q30,B$2:B30,B30)-SUMIFS(V$1:V29,B$2:B30,B30,T$1:T29,"subtotal"),IF(T30="Subtotal",SUMIF(B$2:B30,B30,Q$2:Q30),""))</f>
        <v/>
      </c>
    </row>
    <row r="31">
      <c r="A31" s="1" t="n">
        <v>45246.02269675926</v>
      </c>
      <c r="B31" t="inlineStr">
        <is>
          <t>1000562</t>
        </is>
      </c>
      <c r="D31" t="inlineStr">
        <is>
          <t>8004505522501000547</t>
        </is>
      </c>
      <c r="E31" t="inlineStr">
        <is>
          <t>MAX-F ILIAC CREST BONE GRAFT TRAY</t>
        </is>
      </c>
      <c r="F31" t="inlineStr">
        <is>
          <t>IN WASH AREA</t>
        </is>
      </c>
      <c r="G31" t="n">
        <v>20</v>
      </c>
      <c r="H31" t="inlineStr">
        <is>
          <t>800450552250100054700020</t>
        </is>
      </c>
      <c r="I31" t="inlineStr">
        <is>
          <t>GIAI</t>
        </is>
      </c>
      <c r="J31" t="inlineStr">
        <is>
          <t>Wash Area Inspection</t>
        </is>
      </c>
      <c r="K31" t="inlineStr">
        <is>
          <t>Success</t>
        </is>
      </c>
      <c r="M31" t="inlineStr">
        <is>
          <t>CRAIG GLYNN-SMITH</t>
        </is>
      </c>
      <c r="N31" t="inlineStr">
        <is>
          <t>NUH - Dirty Area Login</t>
        </is>
      </c>
      <c r="O31" t="inlineStr">
        <is>
          <t>QSTER2105002</t>
        </is>
      </c>
      <c r="P31" t="inlineStr">
        <is>
          <t>Nottingham University Hospitals</t>
        </is>
      </c>
      <c r="Q31" s="9">
        <f>IF(AND(LEFT(F31,2)="off",(LEFT(F31,2)="aut")),0,IF(AND(LEFT(F31,2)="off",(LEFT(F31,4)="In D")),0,IF(A31-A30&lt;0,0,A31-A30)))</f>
        <v/>
      </c>
      <c r="R31" s="3">
        <f>IF(F31="Autoclave completed",COUNTIFS(F$2:F31,"Autoclave completed",B$2:B31,B31),"")</f>
        <v/>
      </c>
      <c r="S31" s="3">
        <f>COUNTIFS(F:F,"Autoclave completed",B:B,B31)</f>
        <v/>
      </c>
      <c r="T31" s="3">
        <f>IF(R31=S31,"Total",IF(AND(R31=1,S31=2),"Subtotal",""))</f>
        <v/>
      </c>
      <c r="U31" s="9">
        <f>IF(T31="Total",SUMIFS(Q$2:Q31,B$2:B31,B31,T$2:T31,"&lt;&gt;subtotal"),IF(T31="Subtotal",SUMIF(B$2:B31,B31,Q$2:Q31),""))</f>
        <v/>
      </c>
      <c r="V31" s="9">
        <f>IF(T31="Total",SUMIFS(Q$2:Q31,B$2:B31,B31)-SUMIFS(V$1:V30,B$2:B31,B31,T$1:T30,"subtotal"),IF(T31="Subtotal",SUMIF(B$2:B31,B31,Q$2:Q31),""))</f>
        <v/>
      </c>
    </row>
    <row r="32">
      <c r="A32" s="1" t="n">
        <v>45246.03328703704</v>
      </c>
      <c r="B32" t="inlineStr">
        <is>
          <t>1000562</t>
        </is>
      </c>
      <c r="D32" t="inlineStr">
        <is>
          <t>8004505522501000547</t>
        </is>
      </c>
      <c r="E32" t="inlineStr">
        <is>
          <t>MAX-F ILIAC CREST BONE GRAFT TRAY</t>
        </is>
      </c>
      <c r="F32" t="inlineStr">
        <is>
          <t>IN WASH AREA</t>
        </is>
      </c>
      <c r="G32" t="n">
        <v>20</v>
      </c>
      <c r="H32" t="inlineStr">
        <is>
          <t>8004505522501000547</t>
        </is>
      </c>
      <c r="I32" t="inlineStr">
        <is>
          <t>GIAI</t>
        </is>
      </c>
      <c r="J32" t="inlineStr">
        <is>
          <t>Wash Area Cart Load</t>
        </is>
      </c>
      <c r="K32" t="inlineStr">
        <is>
          <t>Success</t>
        </is>
      </c>
      <c r="M32" t="inlineStr">
        <is>
          <t>[Person_7]</t>
        </is>
      </c>
      <c r="N32" t="inlineStr">
        <is>
          <t>NUH - Dirty Area Login</t>
        </is>
      </c>
      <c r="O32" t="inlineStr">
        <is>
          <t>QTHEA2104002</t>
        </is>
      </c>
      <c r="P32" t="inlineStr">
        <is>
          <t>Nottingham University Hospitals</t>
        </is>
      </c>
      <c r="Q32" s="9">
        <f>IF(AND(LEFT(F32,2)="off",(LEFT(F32,2)="aut")),0,IF(AND(LEFT(F32,2)="off",(LEFT(F32,4)="In D")),0,IF(A32-A31&lt;0,0,A32-A31)))</f>
        <v/>
      </c>
      <c r="R32" s="3">
        <f>IF(F32="Autoclave completed",COUNTIFS(F$2:F32,"Autoclave completed",B$2:B32,B32),"")</f>
        <v/>
      </c>
      <c r="S32" s="3">
        <f>COUNTIFS(F:F,"Autoclave completed",B:B,B32)</f>
        <v/>
      </c>
      <c r="T32" s="3">
        <f>IF(R32=S32,"Total",IF(AND(R32=1,S32=2),"Subtotal",""))</f>
        <v/>
      </c>
      <c r="U32" s="9">
        <f>IF(T32="Total",SUMIFS(Q$2:Q32,B$2:B32,B32,T$2:T32,"&lt;&gt;subtotal"),IF(T32="Subtotal",SUMIF(B$2:B32,B32,Q$2:Q32),""))</f>
        <v/>
      </c>
      <c r="V32" s="9">
        <f>IF(T32="Total",SUMIFS(Q$2:Q32,B$2:B32,B32)-SUMIFS(V$1:V31,B$2:B32,B32,T$1:T31,"subtotal"),IF(T32="Subtotal",SUMIF(B$2:B32,B32,Q$2:Q32),""))</f>
        <v/>
      </c>
    </row>
    <row r="33">
      <c r="A33" s="1" t="n">
        <v>45247.29282407407</v>
      </c>
      <c r="B33" t="inlineStr">
        <is>
          <t>1000562</t>
        </is>
      </c>
      <c r="D33" t="inlineStr">
        <is>
          <t>8004505522501000547</t>
        </is>
      </c>
      <c r="E33" t="inlineStr">
        <is>
          <t>MAX-F ILIAC CREST BONE GRAFT TRAY</t>
        </is>
      </c>
      <c r="F33" t="inlineStr">
        <is>
          <t>WASHER COMPLETED</t>
        </is>
      </c>
      <c r="G33" t="n">
        <v>20</v>
      </c>
      <c r="H33" t="inlineStr">
        <is>
          <t>8004505522501000547</t>
        </is>
      </c>
      <c r="I33" t="inlineStr">
        <is>
          <t>GIAI</t>
        </is>
      </c>
      <c r="J33" t="inlineStr">
        <is>
          <t>IAP Packing</t>
        </is>
      </c>
      <c r="K33" t="inlineStr">
        <is>
          <t>Success</t>
        </is>
      </c>
      <c r="M33" t="inlineStr">
        <is>
          <t>GLENWORTHWILLIS</t>
        </is>
      </c>
      <c r="N33" t="inlineStr">
        <is>
          <t>NUH - IAP Area Login</t>
        </is>
      </c>
      <c r="O33" t="inlineStr">
        <is>
          <t>QTHEA1808001</t>
        </is>
      </c>
      <c r="P33" t="inlineStr">
        <is>
          <t>Nottingham University Hospitals</t>
        </is>
      </c>
      <c r="Q33" s="9">
        <f>IF(AND(LEFT(F33,2)="off",(LEFT(F33,2)="aut")),0,IF(AND(LEFT(F33,2)="off",(LEFT(F33,4)="In D")),0,IF(A33-A32&lt;0,0,A33-A32)))</f>
        <v/>
      </c>
      <c r="R33" s="3">
        <f>IF(F33="Autoclave completed",COUNTIFS(F$2:F33,"Autoclave completed",B$2:B33,B33),"")</f>
        <v/>
      </c>
      <c r="S33" s="3">
        <f>COUNTIFS(F:F,"Autoclave completed",B:B,B33)</f>
        <v/>
      </c>
      <c r="T33" s="3">
        <f>IF(R33=S33,"Total",IF(AND(R33=1,S33=2),"Subtotal",""))</f>
        <v/>
      </c>
      <c r="U33" s="9">
        <f>IF(T33="Total",SUMIFS(Q$2:Q33,B$2:B33,B33,T$2:T33,"&lt;&gt;subtotal"),IF(T33="Subtotal",SUMIF(B$2:B33,B33,Q$2:Q33),""))</f>
        <v/>
      </c>
      <c r="V33" s="9">
        <f>IF(T33="Total",SUMIFS(Q$2:Q33,B$2:B33,B33)-SUMIFS(V$1:V32,B$2:B33,B33,T$1:T32,"subtotal"),IF(T33="Subtotal",SUMIF(B$2:B33,B33,Q$2:Q33),""))</f>
        <v/>
      </c>
    </row>
    <row r="34">
      <c r="A34" s="1" t="n">
        <v>45247.38347222222</v>
      </c>
      <c r="B34" t="inlineStr">
        <is>
          <t>1000562</t>
        </is>
      </c>
      <c r="D34" t="inlineStr">
        <is>
          <t>8004505522501000547</t>
        </is>
      </c>
      <c r="E34" t="inlineStr">
        <is>
          <t>MAX-F ILIAC CREST BONE GRAFT TRAY</t>
        </is>
      </c>
      <c r="F34" t="inlineStr">
        <is>
          <t>PACKING</t>
        </is>
      </c>
      <c r="G34" t="n">
        <v>21</v>
      </c>
      <c r="H34" t="inlineStr">
        <is>
          <t>800450552250100054700021</t>
        </is>
      </c>
      <c r="I34" t="inlineStr">
        <is>
          <t>GIAI</t>
        </is>
      </c>
      <c r="J34" t="inlineStr">
        <is>
          <t>IAP Packing</t>
        </is>
      </c>
      <c r="K34" t="inlineStr">
        <is>
          <t>Success</t>
        </is>
      </c>
      <c r="M34" t="inlineStr">
        <is>
          <t>[Person_8]</t>
        </is>
      </c>
      <c r="N34" t="inlineStr">
        <is>
          <t>NUH - IAP Area Login</t>
        </is>
      </c>
      <c r="O34" t="inlineStr">
        <is>
          <t>QSTER2110003</t>
        </is>
      </c>
      <c r="P34" t="inlineStr">
        <is>
          <t>Nottingham University Hospitals</t>
        </is>
      </c>
      <c r="Q34" s="9">
        <f>IF(AND(LEFT(F34,2)="off",(LEFT(F34,2)="aut")),0,IF(AND(LEFT(F34,2)="off",(LEFT(F34,4)="In D")),0,IF(A34-A33&lt;0,0,A34-A33)))</f>
        <v/>
      </c>
      <c r="R34" s="3">
        <f>IF(F34="Autoclave completed",COUNTIFS(F$2:F34,"Autoclave completed",B$2:B34,B34),"")</f>
        <v/>
      </c>
      <c r="S34" s="3">
        <f>COUNTIFS(F:F,"Autoclave completed",B:B,B34)</f>
        <v/>
      </c>
      <c r="T34" s="3">
        <f>IF(R34=S34,"Total",IF(AND(R34=1,S34=2),"Subtotal",""))</f>
        <v/>
      </c>
      <c r="U34" s="9">
        <f>IF(T34="Total",SUMIFS(Q$2:Q34,B$2:B34,B34,T$2:T34,"&lt;&gt;subtotal"),IF(T34="Subtotal",SUMIF(B$2:B34,B34,Q$2:Q34),""))</f>
        <v/>
      </c>
      <c r="V34" s="9">
        <f>IF(T34="Total",SUMIFS(Q$2:Q34,B$2:B34,B34)-SUMIFS(V$1:V33,B$2:B34,B34,T$1:T33,"subtotal"),IF(T34="Subtotal",SUMIF(B$2:B34,B34,Q$2:Q34),""))</f>
        <v/>
      </c>
    </row>
    <row r="35">
      <c r="A35" s="1" t="n">
        <v>45247.44365740741</v>
      </c>
      <c r="B35" t="inlineStr">
        <is>
          <t>1000562</t>
        </is>
      </c>
      <c r="D35" t="inlineStr">
        <is>
          <t>8004505522501000547</t>
        </is>
      </c>
      <c r="E35" t="inlineStr">
        <is>
          <t>MAX-F ILIAC CREST BONE GRAFT TRAY</t>
        </is>
      </c>
      <c r="F35" t="inlineStr">
        <is>
          <t>AUTOCLAVE COMPLETED</t>
        </is>
      </c>
      <c r="G35" t="n">
        <v>21</v>
      </c>
      <c r="H35" t="inlineStr">
        <is>
          <t>800450552250100054700021</t>
        </is>
      </c>
      <c r="I35" t="inlineStr">
        <is>
          <t>GIAI</t>
        </is>
      </c>
      <c r="J35" t="inlineStr">
        <is>
          <t>Despatch Issue</t>
        </is>
      </c>
      <c r="K35" t="inlineStr">
        <is>
          <t>Success</t>
        </is>
      </c>
      <c r="M35" t="inlineStr">
        <is>
          <t>[Person_9]</t>
        </is>
      </c>
      <c r="N35" t="inlineStr">
        <is>
          <t>NUH - Autoclave Area Login</t>
        </is>
      </c>
      <c r="O35" t="inlineStr">
        <is>
          <t>QSTER2110005</t>
        </is>
      </c>
      <c r="P35" t="inlineStr">
        <is>
          <t>Nottingham University Hospitals</t>
        </is>
      </c>
      <c r="Q35" s="9">
        <f>IF(AND(LEFT(F35,2)="off",(LEFT(F35,2)="aut")),0,IF(AND(LEFT(F35,2)="off",(LEFT(F35,4)="In D")),0,IF(A35-A34&lt;0,0,A35-A34)))</f>
        <v/>
      </c>
      <c r="R35" s="3">
        <f>IF(F35="Autoclave completed",COUNTIFS(F$2:F35,"Autoclave completed",B$2:B35,B35),"")</f>
        <v/>
      </c>
      <c r="S35" s="3">
        <f>COUNTIFS(F:F,"Autoclave completed",B:B,B35)</f>
        <v/>
      </c>
      <c r="T35" s="3">
        <f>IF(R35=S35,"Total",IF(AND(R35=1,S35=2),"Subtotal",""))</f>
        <v/>
      </c>
      <c r="U35" s="9">
        <f>IF(T35="Total",SUMIFS(Q$2:Q35,B$2:B35,B35,T$2:T35,"&lt;&gt;subtotal"),IF(T35="Subtotal",SUMIF(B$2:B35,B35,Q$2:Q35),""))</f>
        <v/>
      </c>
      <c r="V35" s="9">
        <f>IF(T35="Total",SUMIFS(Q$2:Q35,B$2:B35,B35)-SUMIFS(V$1:V34,B$2:B35,B35,T$1:T34,"subtotal"),IF(T35="Subtotal",SUMIF(B$2:B35,B35,Q$2:Q35),""))</f>
        <v/>
      </c>
      <c r="W35" s="10">
        <f>SUM(Q25:Q35)</f>
        <v/>
      </c>
    </row>
  </sheetData>
  <pageMargins left="0.7" right="0.7" top="0.75" bottom="0.75" header="0.3" footer="0.3"/>
  <pageSetup orientation="portrait" paperSize="9" verticalDpi="597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2023-11-23T14:38:54Z</dcterms:created>
  <dcterms:modified xsi:type="dcterms:W3CDTF">2025-09-29T21:42:52Z</dcterms:modified>
</cp:coreProperties>
</file>